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50" yWindow="120" windowWidth="17850" windowHeight="12540" tabRatio="257" firstSheet="22" activeTab="22"/>
  </bookViews>
  <sheets>
    <sheet name="Predlog FP 2022. A" sheetId="45" r:id="rId1"/>
    <sheet name="Predlog FP 2022. S" sheetId="47" r:id="rId2"/>
    <sheet name="Prva izmena FP 2022. A" sheetId="48" r:id="rId3"/>
    <sheet name="Prva izmena FP 2022. S" sheetId="49" r:id="rId4"/>
    <sheet name="Druga izmena FP 2022. A" sheetId="50" r:id="rId5"/>
    <sheet name="Druga izmena FP 2022. S" sheetId="52" r:id="rId6"/>
    <sheet name="Treća izmena FP 2022. A" sheetId="53" r:id="rId7"/>
    <sheet name="Treća izmena FP 2022. S" sheetId="55" r:id="rId8"/>
    <sheet name="Četvrta izmena FP 2022. A" sheetId="56" r:id="rId9"/>
    <sheet name="Četvrta izmena FP 2022. S" sheetId="57" r:id="rId10"/>
    <sheet name="Peta izmena FP 2022. A " sheetId="58" r:id="rId11"/>
    <sheet name="Peta izmena FP 2022. S" sheetId="59" r:id="rId12"/>
    <sheet name="Šesta izmena FP 2022. A" sheetId="60" r:id="rId13"/>
    <sheet name="Šesta izmena FP 2022. S" sheetId="61" r:id="rId14"/>
    <sheet name="Sedma izmena FP 2022. A" sheetId="62" r:id="rId15"/>
    <sheet name="Sedma izmena FP 2022. S" sheetId="63" r:id="rId16"/>
    <sheet name="Osma izmena FP 2022. A" sheetId="64" r:id="rId17"/>
    <sheet name="Osma izmena FP 2022. S" sheetId="65" r:id="rId18"/>
    <sheet name="Deveta izmena FP 2022. A" sheetId="66" r:id="rId19"/>
    <sheet name="Deveta izmena FP 2022. S" sheetId="68" r:id="rId20"/>
    <sheet name="Deseta izmena FP 2022. A" sheetId="69" r:id="rId21"/>
    <sheet name="Deseta izmena FP 2022. S" sheetId="70" r:id="rId22"/>
    <sheet name="Jedanaesta izmena FP 2022. A" sheetId="71" r:id="rId23"/>
    <sheet name="Jedanaesta izmena FP 2022. S" sheetId="72" r:id="rId24"/>
    <sheet name="Sheet3" sheetId="37" r:id="rId25"/>
  </sheets>
  <calcPr calcId="144525"/>
</workbook>
</file>

<file path=xl/calcChain.xml><?xml version="1.0" encoding="utf-8"?>
<calcChain xmlns="http://schemas.openxmlformats.org/spreadsheetml/2006/main">
  <c r="C35" i="71" l="1"/>
  <c r="C38" i="71"/>
  <c r="C138" i="71"/>
  <c r="C39" i="71"/>
  <c r="C140" i="71"/>
  <c r="C42" i="71"/>
  <c r="C111" i="71"/>
  <c r="C89" i="71"/>
  <c r="C119" i="71"/>
  <c r="C45" i="71"/>
  <c r="C73" i="71"/>
  <c r="C75" i="71"/>
  <c r="C43" i="71"/>
  <c r="C8" i="71" l="1"/>
  <c r="C28" i="71"/>
  <c r="D11" i="71"/>
  <c r="D12" i="71"/>
  <c r="E36" i="71"/>
  <c r="E38" i="71"/>
  <c r="E29" i="71"/>
  <c r="C36" i="71"/>
  <c r="D92" i="71"/>
  <c r="D20" i="71"/>
  <c r="E85" i="71" l="1"/>
  <c r="I85" i="71" s="1"/>
  <c r="E74" i="71"/>
  <c r="C139" i="71"/>
  <c r="C143" i="71"/>
  <c r="C152" i="71"/>
  <c r="C144" i="71"/>
  <c r="I144" i="71" s="1"/>
  <c r="C10" i="71"/>
  <c r="C150" i="71"/>
  <c r="I150" i="71" s="1"/>
  <c r="C142" i="71"/>
  <c r="I142" i="71" s="1"/>
  <c r="C126" i="71"/>
  <c r="I126" i="71" s="1"/>
  <c r="C117" i="71"/>
  <c r="C105" i="71"/>
  <c r="I105" i="71" s="1"/>
  <c r="C110" i="71"/>
  <c r="C104" i="71"/>
  <c r="I104" i="71" s="1"/>
  <c r="C97" i="71"/>
  <c r="C95" i="71"/>
  <c r="C72" i="71"/>
  <c r="I72" i="71" s="1"/>
  <c r="C46" i="71"/>
  <c r="I111" i="71"/>
  <c r="I28" i="71"/>
  <c r="H172" i="71"/>
  <c r="G172" i="71"/>
  <c r="F172" i="71"/>
  <c r="C172" i="71"/>
  <c r="I171" i="71"/>
  <c r="E170" i="71"/>
  <c r="I170" i="71" s="1"/>
  <c r="I169" i="71"/>
  <c r="D168" i="71"/>
  <c r="I168" i="71" s="1"/>
  <c r="E167" i="71"/>
  <c r="I167" i="71" s="1"/>
  <c r="E166" i="71"/>
  <c r="I166" i="71" s="1"/>
  <c r="E165" i="71"/>
  <c r="I165" i="71" s="1"/>
  <c r="E164" i="71"/>
  <c r="D164" i="71"/>
  <c r="E163" i="71"/>
  <c r="I163" i="71" s="1"/>
  <c r="I162" i="71"/>
  <c r="I161" i="71"/>
  <c r="I160" i="71"/>
  <c r="I159" i="71"/>
  <c r="I158" i="71"/>
  <c r="I157" i="71"/>
  <c r="E155" i="71"/>
  <c r="I155" i="71" s="1"/>
  <c r="E154" i="71"/>
  <c r="I154" i="71" s="1"/>
  <c r="I153" i="71"/>
  <c r="E152" i="71"/>
  <c r="E151" i="71"/>
  <c r="I151" i="71" s="1"/>
  <c r="G149" i="71"/>
  <c r="F149" i="71"/>
  <c r="E148" i="71"/>
  <c r="I148" i="71" s="1"/>
  <c r="I147" i="71"/>
  <c r="E146" i="71"/>
  <c r="D146" i="71"/>
  <c r="C145" i="71"/>
  <c r="I145" i="71" s="1"/>
  <c r="E143" i="71"/>
  <c r="C141" i="71"/>
  <c r="I141" i="71" s="1"/>
  <c r="I140" i="71"/>
  <c r="E139" i="71"/>
  <c r="I138" i="71"/>
  <c r="E137" i="71"/>
  <c r="C137" i="71"/>
  <c r="E136" i="71"/>
  <c r="C136" i="71"/>
  <c r="I135" i="71"/>
  <c r="C134" i="71"/>
  <c r="I134" i="71" s="1"/>
  <c r="C133" i="71"/>
  <c r="I133" i="71" s="1"/>
  <c r="E132" i="71"/>
  <c r="I132" i="71" s="1"/>
  <c r="I131" i="71"/>
  <c r="I130" i="71"/>
  <c r="C129" i="71"/>
  <c r="I129" i="71" s="1"/>
  <c r="C128" i="71"/>
  <c r="I128" i="71" s="1"/>
  <c r="C127" i="71"/>
  <c r="I127" i="71" s="1"/>
  <c r="C124" i="71"/>
  <c r="I124" i="71" s="1"/>
  <c r="E123" i="71"/>
  <c r="I123" i="71" s="1"/>
  <c r="C122" i="71"/>
  <c r="I122" i="71" s="1"/>
  <c r="C121" i="71"/>
  <c r="I121" i="71" s="1"/>
  <c r="C120" i="71"/>
  <c r="I120" i="71" s="1"/>
  <c r="I119" i="71"/>
  <c r="C118" i="71"/>
  <c r="I118" i="71" s="1"/>
  <c r="E117" i="71"/>
  <c r="C116" i="71"/>
  <c r="I116" i="71" s="1"/>
  <c r="C115" i="71"/>
  <c r="I115" i="71" s="1"/>
  <c r="C114" i="71"/>
  <c r="I114" i="71" s="1"/>
  <c r="I113" i="71"/>
  <c r="I112" i="71"/>
  <c r="I110" i="71"/>
  <c r="C109" i="71"/>
  <c r="I109" i="71" s="1"/>
  <c r="I108" i="71"/>
  <c r="C107" i="71"/>
  <c r="I107" i="71" s="1"/>
  <c r="C106" i="71"/>
  <c r="I106" i="71" s="1"/>
  <c r="I103" i="71"/>
  <c r="I102" i="71"/>
  <c r="C101" i="71"/>
  <c r="I101" i="71" s="1"/>
  <c r="H100" i="71"/>
  <c r="F100" i="71"/>
  <c r="E99" i="71"/>
  <c r="I99" i="71" s="1"/>
  <c r="I98" i="71"/>
  <c r="E97" i="71"/>
  <c r="I97" i="71" s="1"/>
  <c r="E96" i="71"/>
  <c r="I96" i="71" s="1"/>
  <c r="C94" i="71"/>
  <c r="I94" i="71" s="1"/>
  <c r="H93" i="71"/>
  <c r="F93" i="71"/>
  <c r="E92" i="71"/>
  <c r="I92" i="71" s="1"/>
  <c r="E91" i="71"/>
  <c r="I91" i="71" s="1"/>
  <c r="E90" i="71"/>
  <c r="I90" i="71" s="1"/>
  <c r="I89" i="71"/>
  <c r="E88" i="71"/>
  <c r="I88" i="71" s="1"/>
  <c r="I87" i="71"/>
  <c r="E86" i="71"/>
  <c r="I86" i="71" s="1"/>
  <c r="I84" i="71"/>
  <c r="I83" i="71"/>
  <c r="D82" i="71"/>
  <c r="I82" i="71" s="1"/>
  <c r="C81" i="71"/>
  <c r="I81" i="71" s="1"/>
  <c r="E80" i="71"/>
  <c r="I80" i="71" s="1"/>
  <c r="I79" i="71"/>
  <c r="I78" i="71"/>
  <c r="E77" i="71"/>
  <c r="I77" i="71" s="1"/>
  <c r="E76" i="71"/>
  <c r="I76" i="71" s="1"/>
  <c r="E75" i="71"/>
  <c r="I75" i="71" s="1"/>
  <c r="I74" i="71"/>
  <c r="I73" i="71"/>
  <c r="I71" i="71"/>
  <c r="E70" i="71"/>
  <c r="I70" i="71" s="1"/>
  <c r="E69" i="71"/>
  <c r="H68" i="71"/>
  <c r="G68" i="71"/>
  <c r="G156" i="71" s="1"/>
  <c r="G173" i="71" s="1"/>
  <c r="F68" i="71"/>
  <c r="E67" i="71"/>
  <c r="I67" i="71" s="1"/>
  <c r="E66" i="71"/>
  <c r="I66" i="71" s="1"/>
  <c r="I65" i="71"/>
  <c r="I64" i="71"/>
  <c r="E63" i="71"/>
  <c r="I63" i="71" s="1"/>
  <c r="I62" i="71"/>
  <c r="E61" i="71"/>
  <c r="I61" i="71" s="1"/>
  <c r="I60" i="71"/>
  <c r="I59" i="71"/>
  <c r="C58" i="71"/>
  <c r="I57" i="71"/>
  <c r="E57" i="71"/>
  <c r="E56" i="71"/>
  <c r="I56" i="71" s="1"/>
  <c r="I55" i="71"/>
  <c r="E54" i="71"/>
  <c r="I54" i="71" s="1"/>
  <c r="I53" i="71"/>
  <c r="C52" i="71"/>
  <c r="I52" i="71" s="1"/>
  <c r="C51" i="71"/>
  <c r="I51" i="71" s="1"/>
  <c r="C50" i="71"/>
  <c r="I50" i="71" s="1"/>
  <c r="C49" i="71"/>
  <c r="I49" i="71" s="1"/>
  <c r="C48" i="71"/>
  <c r="I48" i="71" s="1"/>
  <c r="I47" i="71"/>
  <c r="I46" i="71"/>
  <c r="I45" i="71"/>
  <c r="C44" i="71"/>
  <c r="I44" i="71" s="1"/>
  <c r="E43" i="71"/>
  <c r="I42" i="71"/>
  <c r="C41" i="71"/>
  <c r="I41" i="71" s="1"/>
  <c r="C40" i="71"/>
  <c r="I40" i="71" s="1"/>
  <c r="E39" i="71"/>
  <c r="I38" i="71"/>
  <c r="I37" i="71"/>
  <c r="E35" i="71"/>
  <c r="I35" i="71" s="1"/>
  <c r="E34" i="71"/>
  <c r="I32" i="71"/>
  <c r="E31" i="71"/>
  <c r="E30" i="71" s="1"/>
  <c r="C31" i="71"/>
  <c r="C29" i="71"/>
  <c r="I29" i="71" s="1"/>
  <c r="C27" i="71"/>
  <c r="I27" i="71" s="1"/>
  <c r="C26" i="71"/>
  <c r="I26" i="71" s="1"/>
  <c r="I25" i="71"/>
  <c r="I24" i="71"/>
  <c r="H23" i="71"/>
  <c r="E23" i="71"/>
  <c r="E22" i="71"/>
  <c r="I22" i="71" s="1"/>
  <c r="C21" i="71"/>
  <c r="I21" i="71" s="1"/>
  <c r="E20" i="71"/>
  <c r="C20" i="71"/>
  <c r="G16" i="71"/>
  <c r="I15" i="71"/>
  <c r="H15" i="71"/>
  <c r="H16" i="71" s="1"/>
  <c r="C14" i="71"/>
  <c r="I14" i="71" s="1"/>
  <c r="I13" i="71"/>
  <c r="F12" i="71"/>
  <c r="F11" i="71"/>
  <c r="E10" i="71"/>
  <c r="E9" i="71"/>
  <c r="I8" i="71"/>
  <c r="E70" i="69"/>
  <c r="E43" i="69"/>
  <c r="C97" i="69"/>
  <c r="C143" i="69"/>
  <c r="C43" i="69"/>
  <c r="C42" i="69"/>
  <c r="C94" i="69"/>
  <c r="E136" i="69"/>
  <c r="E146" i="69"/>
  <c r="E154" i="69"/>
  <c r="E97" i="69"/>
  <c r="E96" i="69"/>
  <c r="E38" i="69"/>
  <c r="E36" i="69"/>
  <c r="E90" i="69"/>
  <c r="E20" i="69"/>
  <c r="E22" i="69"/>
  <c r="E99" i="69"/>
  <c r="E61" i="69"/>
  <c r="C121" i="69"/>
  <c r="C120" i="69"/>
  <c r="E151" i="69"/>
  <c r="I151" i="69" s="1"/>
  <c r="I150" i="69"/>
  <c r="I153" i="69"/>
  <c r="F149" i="69"/>
  <c r="G149" i="69"/>
  <c r="I146" i="71" l="1"/>
  <c r="I31" i="71"/>
  <c r="D125" i="71"/>
  <c r="F16" i="71"/>
  <c r="I136" i="71"/>
  <c r="I164" i="71"/>
  <c r="E125" i="71"/>
  <c r="I43" i="71"/>
  <c r="I12" i="71"/>
  <c r="I39" i="71"/>
  <c r="E58" i="71"/>
  <c r="E16" i="71"/>
  <c r="C33" i="71"/>
  <c r="D16" i="71"/>
  <c r="C30" i="71"/>
  <c r="E33" i="71"/>
  <c r="I36" i="71"/>
  <c r="H156" i="71"/>
  <c r="H173" i="71" s="1"/>
  <c r="E93" i="71"/>
  <c r="E100" i="71"/>
  <c r="I137" i="71"/>
  <c r="E149" i="71"/>
  <c r="I152" i="71"/>
  <c r="I149" i="71" s="1"/>
  <c r="I9" i="71"/>
  <c r="I11" i="71"/>
  <c r="F156" i="71"/>
  <c r="F173" i="71" s="1"/>
  <c r="E172" i="71"/>
  <c r="I117" i="71"/>
  <c r="I100" i="71" s="1"/>
  <c r="I10" i="71"/>
  <c r="I139" i="71"/>
  <c r="I30" i="71"/>
  <c r="E68" i="71"/>
  <c r="I143" i="71"/>
  <c r="C149" i="71"/>
  <c r="C125" i="71"/>
  <c r="C93" i="71"/>
  <c r="I95" i="71"/>
  <c r="I93" i="71" s="1"/>
  <c r="C23" i="71"/>
  <c r="C7" i="71" s="1"/>
  <c r="C16" i="71" s="1"/>
  <c r="I172" i="71"/>
  <c r="I23" i="71"/>
  <c r="I58" i="71"/>
  <c r="D68" i="71"/>
  <c r="D156" i="71" s="1"/>
  <c r="I34" i="71"/>
  <c r="C68" i="71"/>
  <c r="I69" i="71"/>
  <c r="I68" i="71" s="1"/>
  <c r="C100" i="71"/>
  <c r="D172" i="71"/>
  <c r="I20" i="71"/>
  <c r="E139" i="69"/>
  <c r="E35" i="69"/>
  <c r="F68" i="69"/>
  <c r="G68" i="69"/>
  <c r="H68" i="69"/>
  <c r="C38" i="69"/>
  <c r="C35" i="69"/>
  <c r="C36" i="69"/>
  <c r="D173" i="71" l="1"/>
  <c r="E156" i="71"/>
  <c r="E173" i="71" s="1"/>
  <c r="I33" i="71"/>
  <c r="I125" i="71"/>
  <c r="C156" i="71"/>
  <c r="C173" i="71" s="1"/>
  <c r="I7" i="71"/>
  <c r="I16" i="71" s="1"/>
  <c r="C145" i="69"/>
  <c r="C142" i="69"/>
  <c r="C140" i="69"/>
  <c r="C141" i="69"/>
  <c r="C139" i="69"/>
  <c r="C134" i="69"/>
  <c r="C127" i="69"/>
  <c r="C126" i="69"/>
  <c r="C118" i="69"/>
  <c r="C117" i="69"/>
  <c r="C114" i="69"/>
  <c r="C115" i="69"/>
  <c r="C111" i="69"/>
  <c r="C107" i="69"/>
  <c r="C104" i="69"/>
  <c r="C101" i="69"/>
  <c r="C44" i="69"/>
  <c r="C95" i="69"/>
  <c r="C89" i="69"/>
  <c r="C81" i="69"/>
  <c r="C73" i="69"/>
  <c r="C72" i="69"/>
  <c r="C49" i="69"/>
  <c r="C50" i="69"/>
  <c r="C48" i="69"/>
  <c r="C45" i="69"/>
  <c r="C41" i="69"/>
  <c r="C40" i="69"/>
  <c r="C39" i="69"/>
  <c r="C133" i="69"/>
  <c r="E132" i="69"/>
  <c r="E143" i="69"/>
  <c r="E91" i="69"/>
  <c r="E85" i="69"/>
  <c r="E86" i="69"/>
  <c r="G156" i="69"/>
  <c r="G173" i="69" s="1"/>
  <c r="G172" i="69"/>
  <c r="I156" i="71" l="1"/>
  <c r="I173" i="71" s="1"/>
  <c r="G16" i="69"/>
  <c r="I13" i="69"/>
  <c r="D12" i="69"/>
  <c r="D92" i="69"/>
  <c r="D20" i="69"/>
  <c r="D82" i="69"/>
  <c r="D146" i="69" l="1"/>
  <c r="H172" i="69" l="1"/>
  <c r="F172" i="69"/>
  <c r="C172" i="69"/>
  <c r="I171" i="69"/>
  <c r="E170" i="69"/>
  <c r="I170" i="69" s="1"/>
  <c r="I169" i="69"/>
  <c r="D168" i="69"/>
  <c r="I168" i="69" s="1"/>
  <c r="E167" i="69"/>
  <c r="I167" i="69" s="1"/>
  <c r="E166" i="69"/>
  <c r="I166" i="69" s="1"/>
  <c r="I165" i="69"/>
  <c r="E165" i="69"/>
  <c r="E164" i="69"/>
  <c r="D164" i="69"/>
  <c r="E163" i="69"/>
  <c r="I163" i="69" s="1"/>
  <c r="I162" i="69"/>
  <c r="I161" i="69"/>
  <c r="I160" i="69"/>
  <c r="I159" i="69"/>
  <c r="I158" i="69"/>
  <c r="I157" i="69"/>
  <c r="E155" i="69"/>
  <c r="I155" i="69" s="1"/>
  <c r="I154" i="69"/>
  <c r="E152" i="69"/>
  <c r="I152" i="69" s="1"/>
  <c r="I149" i="69" s="1"/>
  <c r="E149" i="69"/>
  <c r="C149" i="69"/>
  <c r="E148" i="69"/>
  <c r="I148" i="69" s="1"/>
  <c r="I147" i="69"/>
  <c r="I146" i="69"/>
  <c r="I145" i="69"/>
  <c r="I144" i="69"/>
  <c r="I143" i="69"/>
  <c r="I142" i="69"/>
  <c r="I141" i="69"/>
  <c r="I140" i="69"/>
  <c r="I139" i="69"/>
  <c r="I138" i="69"/>
  <c r="C138" i="69"/>
  <c r="E137" i="69"/>
  <c r="C137" i="69"/>
  <c r="C136" i="69"/>
  <c r="I136" i="69" s="1"/>
  <c r="I135" i="69"/>
  <c r="I134" i="69"/>
  <c r="I133" i="69"/>
  <c r="I132" i="69"/>
  <c r="I131" i="69"/>
  <c r="I130" i="69"/>
  <c r="C129" i="69"/>
  <c r="I129" i="69" s="1"/>
  <c r="I128" i="69"/>
  <c r="C128" i="69"/>
  <c r="I127" i="69"/>
  <c r="I126" i="69"/>
  <c r="E125" i="69"/>
  <c r="D125" i="69"/>
  <c r="I124" i="69"/>
  <c r="C124" i="69"/>
  <c r="I123" i="69"/>
  <c r="E123" i="69"/>
  <c r="I122" i="69"/>
  <c r="C122" i="69"/>
  <c r="I121" i="69"/>
  <c r="I120" i="69"/>
  <c r="I119" i="69"/>
  <c r="I118" i="69"/>
  <c r="E117" i="69"/>
  <c r="I117" i="69" s="1"/>
  <c r="C116" i="69"/>
  <c r="I116" i="69" s="1"/>
  <c r="I115" i="69"/>
  <c r="I114" i="69"/>
  <c r="I113" i="69"/>
  <c r="I112" i="69"/>
  <c r="I111" i="69"/>
  <c r="C110" i="69"/>
  <c r="I110" i="69" s="1"/>
  <c r="C109" i="69"/>
  <c r="I109" i="69" s="1"/>
  <c r="I108" i="69"/>
  <c r="I107" i="69"/>
  <c r="C106" i="69"/>
  <c r="I106" i="69" s="1"/>
  <c r="C105" i="69"/>
  <c r="I105" i="69" s="1"/>
  <c r="I104" i="69"/>
  <c r="I103" i="69"/>
  <c r="I102" i="69"/>
  <c r="I101" i="69"/>
  <c r="H100" i="69"/>
  <c r="F100" i="69"/>
  <c r="I99" i="69"/>
  <c r="I98" i="69"/>
  <c r="I97" i="69"/>
  <c r="I96" i="69"/>
  <c r="I95" i="69"/>
  <c r="I94" i="69"/>
  <c r="H93" i="69"/>
  <c r="F93" i="69"/>
  <c r="E93" i="69"/>
  <c r="E92" i="69"/>
  <c r="I92" i="69" s="1"/>
  <c r="I91" i="69"/>
  <c r="I90" i="69"/>
  <c r="I89" i="69"/>
  <c r="E88" i="69"/>
  <c r="I88" i="69" s="1"/>
  <c r="I87" i="69"/>
  <c r="I86" i="69"/>
  <c r="I85" i="69"/>
  <c r="I84" i="69"/>
  <c r="I83" i="69"/>
  <c r="I82" i="69"/>
  <c r="I81" i="69"/>
  <c r="E80" i="69"/>
  <c r="I80" i="69" s="1"/>
  <c r="I79" i="69"/>
  <c r="I78" i="69"/>
  <c r="E77" i="69"/>
  <c r="I77" i="69" s="1"/>
  <c r="E76" i="69"/>
  <c r="I76" i="69" s="1"/>
  <c r="E75" i="69"/>
  <c r="C75" i="69"/>
  <c r="E74" i="69"/>
  <c r="I74" i="69" s="1"/>
  <c r="I73" i="69"/>
  <c r="I72" i="69"/>
  <c r="I71" i="69"/>
  <c r="I70" i="69"/>
  <c r="E69" i="69"/>
  <c r="D68" i="69"/>
  <c r="C68" i="69"/>
  <c r="E67" i="69"/>
  <c r="I67" i="69" s="1"/>
  <c r="E66" i="69"/>
  <c r="I66" i="69" s="1"/>
  <c r="I65" i="69"/>
  <c r="I64" i="69"/>
  <c r="E63" i="69"/>
  <c r="I63" i="69" s="1"/>
  <c r="I62" i="69"/>
  <c r="I61" i="69"/>
  <c r="I60" i="69"/>
  <c r="I59" i="69"/>
  <c r="C58" i="69"/>
  <c r="E57" i="69"/>
  <c r="I57" i="69" s="1"/>
  <c r="E56" i="69"/>
  <c r="I56" i="69" s="1"/>
  <c r="I55" i="69"/>
  <c r="E54" i="69"/>
  <c r="I54" i="69" s="1"/>
  <c r="I53" i="69"/>
  <c r="C52" i="69"/>
  <c r="I52" i="69" s="1"/>
  <c r="C51" i="69"/>
  <c r="I51" i="69" s="1"/>
  <c r="I50" i="69"/>
  <c r="I49" i="69"/>
  <c r="I48" i="69"/>
  <c r="I47" i="69"/>
  <c r="C46" i="69"/>
  <c r="I46" i="69" s="1"/>
  <c r="I45" i="69"/>
  <c r="I44" i="69"/>
  <c r="I43" i="69"/>
  <c r="I42" i="69"/>
  <c r="I41" i="69"/>
  <c r="I40" i="69"/>
  <c r="E39" i="69"/>
  <c r="I39" i="69" s="1"/>
  <c r="I38" i="69"/>
  <c r="I37" i="69"/>
  <c r="I36" i="69"/>
  <c r="I35" i="69"/>
  <c r="E34" i="69"/>
  <c r="I34" i="69" s="1"/>
  <c r="I32" i="69"/>
  <c r="E31" i="69"/>
  <c r="E30" i="69" s="1"/>
  <c r="C31" i="69"/>
  <c r="C29" i="69"/>
  <c r="I29" i="69" s="1"/>
  <c r="C28" i="69"/>
  <c r="I28" i="69" s="1"/>
  <c r="C27" i="69"/>
  <c r="I27" i="69" s="1"/>
  <c r="C26" i="69"/>
  <c r="I26" i="69" s="1"/>
  <c r="I25" i="69"/>
  <c r="I24" i="69"/>
  <c r="H23" i="69"/>
  <c r="E23" i="69"/>
  <c r="I22" i="69"/>
  <c r="C21" i="69"/>
  <c r="I21" i="69" s="1"/>
  <c r="C20" i="69"/>
  <c r="I20" i="69" s="1"/>
  <c r="H15" i="69"/>
  <c r="I15" i="69" s="1"/>
  <c r="C14" i="69"/>
  <c r="I14" i="69" s="1"/>
  <c r="F12" i="69"/>
  <c r="I12" i="69" s="1"/>
  <c r="F11" i="69"/>
  <c r="D11" i="69"/>
  <c r="E10" i="69"/>
  <c r="C10" i="69"/>
  <c r="I10" i="69" s="1"/>
  <c r="E9" i="69"/>
  <c r="E16" i="69" s="1"/>
  <c r="I8" i="69"/>
  <c r="C8" i="69"/>
  <c r="C88" i="66"/>
  <c r="C47" i="66"/>
  <c r="C45" i="66"/>
  <c r="C42" i="66"/>
  <c r="C41" i="66"/>
  <c r="C38" i="66"/>
  <c r="E21" i="66"/>
  <c r="E98" i="66"/>
  <c r="E69" i="66"/>
  <c r="E68" i="66"/>
  <c r="C128" i="66"/>
  <c r="I75" i="69" l="1"/>
  <c r="I31" i="69"/>
  <c r="I30" i="69" s="1"/>
  <c r="H156" i="69"/>
  <c r="H173" i="69" s="1"/>
  <c r="F16" i="69"/>
  <c r="F156" i="69"/>
  <c r="F173" i="69" s="1"/>
  <c r="E100" i="69"/>
  <c r="C125" i="69"/>
  <c r="I11" i="69"/>
  <c r="E58" i="69"/>
  <c r="D156" i="69"/>
  <c r="C33" i="69"/>
  <c r="C100" i="69"/>
  <c r="C30" i="69"/>
  <c r="D16" i="69"/>
  <c r="C23" i="69"/>
  <c r="C7" i="69" s="1"/>
  <c r="I7" i="69" s="1"/>
  <c r="I58" i="69"/>
  <c r="E68" i="69"/>
  <c r="I137" i="69"/>
  <c r="I125" i="69" s="1"/>
  <c r="D172" i="69"/>
  <c r="I100" i="69"/>
  <c r="I23" i="69"/>
  <c r="I93" i="69"/>
  <c r="I33" i="69"/>
  <c r="H16" i="69"/>
  <c r="E33" i="69"/>
  <c r="E156" i="69" s="1"/>
  <c r="I69" i="69"/>
  <c r="I68" i="69" s="1"/>
  <c r="C93" i="69"/>
  <c r="I164" i="69"/>
  <c r="I172" i="69" s="1"/>
  <c r="I9" i="69"/>
  <c r="E172" i="69"/>
  <c r="C126" i="66"/>
  <c r="E84" i="66"/>
  <c r="C109" i="66"/>
  <c r="C135" i="66"/>
  <c r="C136" i="66"/>
  <c r="C127" i="66"/>
  <c r="C140" i="66"/>
  <c r="C139" i="66"/>
  <c r="C123" i="66"/>
  <c r="C121" i="66"/>
  <c r="C116" i="66"/>
  <c r="C115" i="66"/>
  <c r="C105" i="66"/>
  <c r="C119" i="66"/>
  <c r="C108" i="66"/>
  <c r="D163" i="66"/>
  <c r="D167" i="66"/>
  <c r="D11" i="66"/>
  <c r="E42" i="66"/>
  <c r="C125" i="66"/>
  <c r="C113" i="66"/>
  <c r="C106" i="66"/>
  <c r="C104" i="66"/>
  <c r="C103" i="66"/>
  <c r="C100" i="66"/>
  <c r="E75" i="66"/>
  <c r="C72" i="66"/>
  <c r="E65" i="66"/>
  <c r="E62" i="66"/>
  <c r="E60" i="66"/>
  <c r="C51" i="66"/>
  <c r="C50" i="66"/>
  <c r="C49" i="66"/>
  <c r="C48" i="66"/>
  <c r="C39" i="66"/>
  <c r="C132" i="66"/>
  <c r="C35" i="66"/>
  <c r="E33" i="66"/>
  <c r="E173" i="69" l="1"/>
  <c r="D173" i="69"/>
  <c r="I16" i="69"/>
  <c r="C156" i="69"/>
  <c r="C173" i="69" s="1"/>
  <c r="C16" i="69"/>
  <c r="I156" i="69"/>
  <c r="I173" i="69" s="1"/>
  <c r="E38" i="66"/>
  <c r="C137" i="66"/>
  <c r="G171" i="66" l="1"/>
  <c r="F171" i="66"/>
  <c r="D171" i="66"/>
  <c r="C171" i="66"/>
  <c r="H170" i="66"/>
  <c r="E169" i="66"/>
  <c r="H169" i="66" s="1"/>
  <c r="H168" i="66"/>
  <c r="H167" i="66"/>
  <c r="E166" i="66"/>
  <c r="H166" i="66" s="1"/>
  <c r="E165" i="66"/>
  <c r="H165" i="66" s="1"/>
  <c r="E164" i="66"/>
  <c r="H164" i="66" s="1"/>
  <c r="E163" i="66"/>
  <c r="H163" i="66" s="1"/>
  <c r="E162" i="66"/>
  <c r="H161" i="66"/>
  <c r="H160" i="66"/>
  <c r="H159" i="66"/>
  <c r="H158" i="66"/>
  <c r="H157" i="66"/>
  <c r="H156" i="66"/>
  <c r="E154" i="66"/>
  <c r="H154" i="66" s="1"/>
  <c r="E153" i="66"/>
  <c r="H153" i="66" s="1"/>
  <c r="H152" i="66"/>
  <c r="E151" i="66"/>
  <c r="H151" i="66" s="1"/>
  <c r="H150" i="66"/>
  <c r="H149" i="66"/>
  <c r="C148" i="66"/>
  <c r="E147" i="66"/>
  <c r="H147" i="66" s="1"/>
  <c r="H146" i="66"/>
  <c r="E145" i="66"/>
  <c r="H145" i="66" s="1"/>
  <c r="C144" i="66"/>
  <c r="H144" i="66" s="1"/>
  <c r="H143" i="66"/>
  <c r="E142" i="66"/>
  <c r="C142" i="66"/>
  <c r="H142" i="66" s="1"/>
  <c r="C141" i="66"/>
  <c r="H141" i="66" s="1"/>
  <c r="H140" i="66"/>
  <c r="H139" i="66"/>
  <c r="E138" i="66"/>
  <c r="H138" i="66" s="1"/>
  <c r="H137" i="66"/>
  <c r="E136" i="66"/>
  <c r="H136" i="66" s="1"/>
  <c r="E135" i="66"/>
  <c r="H135" i="66" s="1"/>
  <c r="H134" i="66"/>
  <c r="H133" i="66"/>
  <c r="H132" i="66"/>
  <c r="H131" i="66"/>
  <c r="H130" i="66"/>
  <c r="H129" i="66"/>
  <c r="H128" i="66"/>
  <c r="H127" i="66"/>
  <c r="H126" i="66"/>
  <c r="H125" i="66"/>
  <c r="D124" i="66"/>
  <c r="H123" i="66"/>
  <c r="E122" i="66"/>
  <c r="H122" i="66" s="1"/>
  <c r="H121" i="66"/>
  <c r="C120" i="66"/>
  <c r="H120" i="66" s="1"/>
  <c r="H119" i="66"/>
  <c r="H118" i="66"/>
  <c r="C117" i="66"/>
  <c r="H117" i="66" s="1"/>
  <c r="E116" i="66"/>
  <c r="H116" i="66" s="1"/>
  <c r="H115" i="66"/>
  <c r="H114" i="66"/>
  <c r="H113" i="66"/>
  <c r="H112" i="66"/>
  <c r="H111" i="66"/>
  <c r="C110" i="66"/>
  <c r="H110" i="66" s="1"/>
  <c r="H109" i="66"/>
  <c r="H108" i="66"/>
  <c r="H107" i="66"/>
  <c r="H106" i="66"/>
  <c r="H105" i="66"/>
  <c r="H104" i="66"/>
  <c r="H103" i="66"/>
  <c r="H102" i="66"/>
  <c r="H101" i="66"/>
  <c r="G99" i="66"/>
  <c r="F99" i="66"/>
  <c r="H98" i="66"/>
  <c r="H97" i="66"/>
  <c r="E96" i="66"/>
  <c r="H96" i="66" s="1"/>
  <c r="E95" i="66"/>
  <c r="H95" i="66" s="1"/>
  <c r="H94" i="66"/>
  <c r="C93" i="66"/>
  <c r="H93" i="66" s="1"/>
  <c r="G92" i="66"/>
  <c r="F92" i="66"/>
  <c r="C92" i="66"/>
  <c r="E91" i="66"/>
  <c r="D91" i="66"/>
  <c r="H91" i="66" s="1"/>
  <c r="H90" i="66"/>
  <c r="H89" i="66"/>
  <c r="H88" i="66"/>
  <c r="E87" i="66"/>
  <c r="H87" i="66" s="1"/>
  <c r="H86" i="66"/>
  <c r="E85" i="66"/>
  <c r="H85" i="66" s="1"/>
  <c r="H84" i="66"/>
  <c r="H83" i="66"/>
  <c r="H82" i="66"/>
  <c r="D81" i="66"/>
  <c r="C80" i="66"/>
  <c r="H80" i="66" s="1"/>
  <c r="E79" i="66"/>
  <c r="H79" i="66" s="1"/>
  <c r="H78" i="66"/>
  <c r="H77" i="66"/>
  <c r="E76" i="66"/>
  <c r="H76" i="66" s="1"/>
  <c r="H75" i="66"/>
  <c r="E74" i="66"/>
  <c r="C74" i="66"/>
  <c r="H74" i="66" s="1"/>
  <c r="E73" i="66"/>
  <c r="H72" i="66"/>
  <c r="H71" i="66"/>
  <c r="H70" i="66"/>
  <c r="H69" i="66"/>
  <c r="H68" i="66"/>
  <c r="E66" i="66"/>
  <c r="E57" i="66" s="1"/>
  <c r="H65" i="66"/>
  <c r="H64" i="66"/>
  <c r="H63" i="66"/>
  <c r="H62" i="66"/>
  <c r="H61" i="66"/>
  <c r="H60" i="66"/>
  <c r="H59" i="66"/>
  <c r="H58" i="66"/>
  <c r="C57" i="66"/>
  <c r="E56" i="66"/>
  <c r="H56" i="66" s="1"/>
  <c r="E55" i="66"/>
  <c r="H55" i="66" s="1"/>
  <c r="H54" i="66"/>
  <c r="E53" i="66"/>
  <c r="H53" i="66" s="1"/>
  <c r="H52" i="66"/>
  <c r="H51" i="66"/>
  <c r="H50" i="66"/>
  <c r="H49" i="66"/>
  <c r="H48" i="66"/>
  <c r="H47" i="66"/>
  <c r="H46" i="66"/>
  <c r="H45" i="66"/>
  <c r="C44" i="66"/>
  <c r="H44" i="66" s="1"/>
  <c r="C43" i="66"/>
  <c r="H43" i="66" s="1"/>
  <c r="H42" i="66"/>
  <c r="H41" i="66"/>
  <c r="C40" i="66"/>
  <c r="H40" i="66" s="1"/>
  <c r="H39" i="66"/>
  <c r="H38" i="66"/>
  <c r="E37" i="66"/>
  <c r="C37" i="66"/>
  <c r="H37" i="66" s="1"/>
  <c r="H36" i="66"/>
  <c r="E35" i="66"/>
  <c r="H35" i="66" s="1"/>
  <c r="E34" i="66"/>
  <c r="C34" i="66"/>
  <c r="H33" i="66"/>
  <c r="H31" i="66"/>
  <c r="E30" i="66"/>
  <c r="E29" i="66" s="1"/>
  <c r="C30" i="66"/>
  <c r="H30" i="66" s="1"/>
  <c r="H29" i="66" s="1"/>
  <c r="C29" i="66"/>
  <c r="C28" i="66"/>
  <c r="H28" i="66" s="1"/>
  <c r="C27" i="66"/>
  <c r="H27" i="66" s="1"/>
  <c r="C26" i="66"/>
  <c r="H26" i="66" s="1"/>
  <c r="H25" i="66"/>
  <c r="C25" i="66"/>
  <c r="H24" i="66"/>
  <c r="H23" i="66"/>
  <c r="G22" i="66"/>
  <c r="E22" i="66"/>
  <c r="H21" i="66"/>
  <c r="C20" i="66"/>
  <c r="H20" i="66" s="1"/>
  <c r="E19" i="66"/>
  <c r="D19" i="66"/>
  <c r="C19" i="66"/>
  <c r="G15" i="66"/>
  <c r="D15" i="66"/>
  <c r="G14" i="66"/>
  <c r="H14" i="66" s="1"/>
  <c r="C13" i="66"/>
  <c r="H13" i="66" s="1"/>
  <c r="F12" i="66"/>
  <c r="H12" i="66" s="1"/>
  <c r="F11" i="66"/>
  <c r="E10" i="66"/>
  <c r="C10" i="66"/>
  <c r="E9" i="66"/>
  <c r="C8" i="66"/>
  <c r="H8" i="66" s="1"/>
  <c r="D11" i="64"/>
  <c r="G171" i="64"/>
  <c r="F171" i="64"/>
  <c r="D171" i="64"/>
  <c r="C171" i="64"/>
  <c r="H170" i="64"/>
  <c r="E169" i="64"/>
  <c r="H169" i="64" s="1"/>
  <c r="H168" i="64"/>
  <c r="H167" i="64"/>
  <c r="E166" i="64"/>
  <c r="H166" i="64" s="1"/>
  <c r="H165" i="64"/>
  <c r="E165" i="64"/>
  <c r="E164" i="64"/>
  <c r="H164" i="64" s="1"/>
  <c r="E163" i="64"/>
  <c r="H163" i="64" s="1"/>
  <c r="E162" i="64"/>
  <c r="H161" i="64"/>
  <c r="H160" i="64"/>
  <c r="H159" i="64"/>
  <c r="H158" i="64"/>
  <c r="H157" i="64"/>
  <c r="H156" i="64"/>
  <c r="H154" i="64"/>
  <c r="E154" i="64"/>
  <c r="E153" i="64"/>
  <c r="H153" i="64" s="1"/>
  <c r="H152" i="64"/>
  <c r="E151" i="64"/>
  <c r="H151" i="64" s="1"/>
  <c r="H150" i="64"/>
  <c r="H149" i="64"/>
  <c r="C148" i="64"/>
  <c r="E147" i="64"/>
  <c r="H147" i="64" s="1"/>
  <c r="H146" i="64"/>
  <c r="H145" i="64"/>
  <c r="E145" i="64"/>
  <c r="C144" i="64"/>
  <c r="H144" i="64" s="1"/>
  <c r="H143" i="64"/>
  <c r="E142" i="64"/>
  <c r="C142" i="64"/>
  <c r="C141" i="64"/>
  <c r="H141" i="64" s="1"/>
  <c r="C140" i="64"/>
  <c r="H140" i="64" s="1"/>
  <c r="H139" i="64"/>
  <c r="E138" i="64"/>
  <c r="H138" i="64" s="1"/>
  <c r="C137" i="64"/>
  <c r="H137" i="64" s="1"/>
  <c r="E136" i="64"/>
  <c r="C136" i="64"/>
  <c r="H136" i="64" s="1"/>
  <c r="E135" i="64"/>
  <c r="E124" i="64" s="1"/>
  <c r="C135" i="64"/>
  <c r="H134" i="64"/>
  <c r="H133" i="64"/>
  <c r="H132" i="64"/>
  <c r="C132" i="64"/>
  <c r="H131" i="64"/>
  <c r="H130" i="64"/>
  <c r="H129" i="64"/>
  <c r="H128" i="64"/>
  <c r="H127" i="64"/>
  <c r="H126" i="64"/>
  <c r="H125" i="64"/>
  <c r="C125" i="64"/>
  <c r="D124" i="64"/>
  <c r="C123" i="64"/>
  <c r="H123" i="64" s="1"/>
  <c r="E122" i="64"/>
  <c r="H122" i="64" s="1"/>
  <c r="H121" i="64"/>
  <c r="H120" i="64"/>
  <c r="C120" i="64"/>
  <c r="C119" i="64"/>
  <c r="H119" i="64" s="1"/>
  <c r="H118" i="64"/>
  <c r="H117" i="64"/>
  <c r="C117" i="64"/>
  <c r="E116" i="64"/>
  <c r="H116" i="64" s="1"/>
  <c r="H115" i="64"/>
  <c r="H114" i="64"/>
  <c r="C113" i="64"/>
  <c r="H113" i="64" s="1"/>
  <c r="H112" i="64"/>
  <c r="H111" i="64"/>
  <c r="C110" i="64"/>
  <c r="H110" i="64" s="1"/>
  <c r="C109" i="64"/>
  <c r="H109" i="64" s="1"/>
  <c r="H108" i="64"/>
  <c r="H107" i="64"/>
  <c r="C106" i="64"/>
  <c r="H106" i="64" s="1"/>
  <c r="C105" i="64"/>
  <c r="H105" i="64" s="1"/>
  <c r="H104" i="64"/>
  <c r="C104" i="64"/>
  <c r="C103" i="64"/>
  <c r="H103" i="64" s="1"/>
  <c r="H102" i="64"/>
  <c r="H101" i="64"/>
  <c r="C100" i="64"/>
  <c r="G99" i="64"/>
  <c r="F99" i="64"/>
  <c r="E99" i="64"/>
  <c r="E98" i="64"/>
  <c r="H98" i="64" s="1"/>
  <c r="H97" i="64"/>
  <c r="E96" i="64"/>
  <c r="H96" i="64" s="1"/>
  <c r="E95" i="64"/>
  <c r="H95" i="64" s="1"/>
  <c r="H94" i="64"/>
  <c r="C93" i="64"/>
  <c r="H93" i="64" s="1"/>
  <c r="G92" i="64"/>
  <c r="G155" i="64" s="1"/>
  <c r="G172" i="64" s="1"/>
  <c r="F92" i="64"/>
  <c r="E91" i="64"/>
  <c r="D91" i="64"/>
  <c r="H91" i="64" s="1"/>
  <c r="H90" i="64"/>
  <c r="H89" i="64"/>
  <c r="C88" i="64"/>
  <c r="H88" i="64" s="1"/>
  <c r="H87" i="64"/>
  <c r="E87" i="64"/>
  <c r="H86" i="64"/>
  <c r="E85" i="64"/>
  <c r="H85" i="64" s="1"/>
  <c r="H84" i="64"/>
  <c r="H83" i="64"/>
  <c r="H82" i="64"/>
  <c r="D81" i="64"/>
  <c r="H81" i="64" s="1"/>
  <c r="C80" i="64"/>
  <c r="H80" i="64" s="1"/>
  <c r="E79" i="64"/>
  <c r="H79" i="64" s="1"/>
  <c r="H78" i="64"/>
  <c r="H77" i="64"/>
  <c r="E76" i="64"/>
  <c r="H76" i="64" s="1"/>
  <c r="E75" i="64"/>
  <c r="H75" i="64" s="1"/>
  <c r="E74" i="64"/>
  <c r="C74" i="64"/>
  <c r="H74" i="64" s="1"/>
  <c r="E73" i="64"/>
  <c r="E67" i="64" s="1"/>
  <c r="H72" i="64"/>
  <c r="C72" i="64"/>
  <c r="H71" i="64"/>
  <c r="H70" i="64"/>
  <c r="H69" i="64"/>
  <c r="E69" i="64"/>
  <c r="H68" i="64"/>
  <c r="C67" i="64"/>
  <c r="H66" i="64"/>
  <c r="E66" i="64"/>
  <c r="H65" i="64"/>
  <c r="H64" i="64"/>
  <c r="H63" i="64"/>
  <c r="H62" i="64"/>
  <c r="H61" i="64"/>
  <c r="H60" i="64"/>
  <c r="H59" i="64"/>
  <c r="H58" i="64"/>
  <c r="E57" i="64"/>
  <c r="C57" i="64"/>
  <c r="H56" i="64"/>
  <c r="E56" i="64"/>
  <c r="E55" i="64"/>
  <c r="H55" i="64" s="1"/>
  <c r="H54" i="64"/>
  <c r="E53" i="64"/>
  <c r="H53" i="64" s="1"/>
  <c r="H52" i="64"/>
  <c r="H51" i="64"/>
  <c r="H50" i="64"/>
  <c r="H49" i="64"/>
  <c r="H48" i="64"/>
  <c r="C47" i="64"/>
  <c r="H47" i="64" s="1"/>
  <c r="H46" i="64"/>
  <c r="H45" i="64"/>
  <c r="C44" i="64"/>
  <c r="H44" i="64" s="1"/>
  <c r="C43" i="64"/>
  <c r="H43" i="64" s="1"/>
  <c r="E42" i="64"/>
  <c r="C42" i="64"/>
  <c r="H42" i="64" s="1"/>
  <c r="H41" i="64"/>
  <c r="C41" i="64"/>
  <c r="C40" i="64"/>
  <c r="H40" i="64" s="1"/>
  <c r="C39" i="64"/>
  <c r="H39" i="64" s="1"/>
  <c r="C38" i="64"/>
  <c r="H38" i="64" s="1"/>
  <c r="E37" i="64"/>
  <c r="C37" i="64"/>
  <c r="H37" i="64" s="1"/>
  <c r="H36" i="64"/>
  <c r="E35" i="64"/>
  <c r="C35" i="64"/>
  <c r="H35" i="64" s="1"/>
  <c r="E34" i="64"/>
  <c r="H34" i="64" s="1"/>
  <c r="C34" i="64"/>
  <c r="E33" i="64"/>
  <c r="E32" i="64" s="1"/>
  <c r="H31" i="64"/>
  <c r="E30" i="64"/>
  <c r="C30" i="64"/>
  <c r="H30" i="64" s="1"/>
  <c r="H29" i="64" s="1"/>
  <c r="E29" i="64"/>
  <c r="C28" i="64"/>
  <c r="H28" i="64" s="1"/>
  <c r="C27" i="64"/>
  <c r="H27" i="64" s="1"/>
  <c r="C26" i="64"/>
  <c r="H26" i="64" s="1"/>
  <c r="C25" i="64"/>
  <c r="H25" i="64" s="1"/>
  <c r="H24" i="64"/>
  <c r="H23" i="64"/>
  <c r="G22" i="64"/>
  <c r="E22" i="64"/>
  <c r="C22" i="64"/>
  <c r="H21" i="64"/>
  <c r="E21" i="64"/>
  <c r="C20" i="64"/>
  <c r="H20" i="64" s="1"/>
  <c r="E19" i="64"/>
  <c r="D19" i="64"/>
  <c r="C19" i="64"/>
  <c r="D15" i="64"/>
  <c r="G14" i="64"/>
  <c r="H14" i="64" s="1"/>
  <c r="H13" i="64"/>
  <c r="C13" i="64"/>
  <c r="F12" i="64"/>
  <c r="H12" i="64" s="1"/>
  <c r="H11" i="64"/>
  <c r="F11" i="64"/>
  <c r="E10" i="64"/>
  <c r="C10" i="64"/>
  <c r="H10" i="64" s="1"/>
  <c r="E9" i="64"/>
  <c r="C8" i="64"/>
  <c r="H8" i="64" s="1"/>
  <c r="C30" i="62"/>
  <c r="E98" i="62"/>
  <c r="E95" i="62"/>
  <c r="C103" i="62"/>
  <c r="C105" i="62"/>
  <c r="E142" i="62"/>
  <c r="E122" i="62"/>
  <c r="E37" i="62"/>
  <c r="E79" i="62"/>
  <c r="C28" i="62"/>
  <c r="E166" i="62"/>
  <c r="E96" i="62"/>
  <c r="E154" i="62"/>
  <c r="E147" i="62"/>
  <c r="E42" i="62"/>
  <c r="C42" i="62"/>
  <c r="C72" i="62"/>
  <c r="C44" i="62"/>
  <c r="C47" i="62"/>
  <c r="C39" i="62"/>
  <c r="C41" i="62"/>
  <c r="C38" i="62"/>
  <c r="C100" i="62"/>
  <c r="C113" i="62"/>
  <c r="C142" i="62"/>
  <c r="C110" i="62"/>
  <c r="C106" i="62"/>
  <c r="C104" i="62"/>
  <c r="H135" i="64" l="1"/>
  <c r="E148" i="64"/>
  <c r="C32" i="64"/>
  <c r="H57" i="64"/>
  <c r="C92" i="64"/>
  <c r="H19" i="66"/>
  <c r="F155" i="66"/>
  <c r="F172" i="66" s="1"/>
  <c r="E15" i="64"/>
  <c r="F15" i="64"/>
  <c r="C29" i="64"/>
  <c r="C7" i="64" s="1"/>
  <c r="F155" i="64"/>
  <c r="F172" i="64" s="1"/>
  <c r="C99" i="64"/>
  <c r="H142" i="64"/>
  <c r="E171" i="64"/>
  <c r="F15" i="66"/>
  <c r="E32" i="66"/>
  <c r="D67" i="66"/>
  <c r="D155" i="66" s="1"/>
  <c r="D172" i="66" s="1"/>
  <c r="E171" i="66"/>
  <c r="H148" i="66"/>
  <c r="E15" i="66"/>
  <c r="C22" i="66"/>
  <c r="C7" i="66" s="1"/>
  <c r="C15" i="66" s="1"/>
  <c r="H66" i="66"/>
  <c r="H57" i="66" s="1"/>
  <c r="H81" i="66"/>
  <c r="G155" i="66"/>
  <c r="G172" i="66" s="1"/>
  <c r="E99" i="66"/>
  <c r="C124" i="66"/>
  <c r="E148" i="66"/>
  <c r="H11" i="66"/>
  <c r="H10" i="66"/>
  <c r="C67" i="66"/>
  <c r="E67" i="66"/>
  <c r="C99" i="66"/>
  <c r="E124" i="66"/>
  <c r="H34" i="66"/>
  <c r="H92" i="66"/>
  <c r="H22" i="66"/>
  <c r="H32" i="66"/>
  <c r="H124" i="66"/>
  <c r="H9" i="66"/>
  <c r="C32" i="66"/>
  <c r="H73" i="66"/>
  <c r="E92" i="66"/>
  <c r="H100" i="66"/>
  <c r="H99" i="66" s="1"/>
  <c r="H162" i="66"/>
  <c r="H171" i="66" s="1"/>
  <c r="H148" i="64"/>
  <c r="H92" i="64"/>
  <c r="H124" i="64"/>
  <c r="H22" i="64"/>
  <c r="H19" i="64"/>
  <c r="G15" i="64"/>
  <c r="H9" i="64"/>
  <c r="H33" i="64"/>
  <c r="H32" i="64" s="1"/>
  <c r="D67" i="64"/>
  <c r="D155" i="64" s="1"/>
  <c r="D172" i="64" s="1"/>
  <c r="C124" i="64"/>
  <c r="H73" i="64"/>
  <c r="H67" i="64" s="1"/>
  <c r="E92" i="64"/>
  <c r="E155" i="64" s="1"/>
  <c r="E172" i="64" s="1"/>
  <c r="H100" i="64"/>
  <c r="H99" i="64" s="1"/>
  <c r="H162" i="64"/>
  <c r="H171" i="64" s="1"/>
  <c r="C119" i="62"/>
  <c r="C123" i="62"/>
  <c r="C117" i="62"/>
  <c r="C125" i="62"/>
  <c r="C10" i="62"/>
  <c r="C140" i="62"/>
  <c r="C88" i="62"/>
  <c r="C43" i="62"/>
  <c r="C109" i="62"/>
  <c r="C40" i="62"/>
  <c r="C15" i="64" l="1"/>
  <c r="H7" i="64"/>
  <c r="H15" i="64" s="1"/>
  <c r="H67" i="66"/>
  <c r="C155" i="64"/>
  <c r="C172" i="64" s="1"/>
  <c r="E155" i="66"/>
  <c r="E172" i="66" s="1"/>
  <c r="H7" i="66"/>
  <c r="H15" i="66" s="1"/>
  <c r="C155" i="66"/>
  <c r="C172" i="66" s="1"/>
  <c r="H155" i="66"/>
  <c r="H172" i="66" s="1"/>
  <c r="H155" i="64"/>
  <c r="H172" i="64" s="1"/>
  <c r="C27" i="62"/>
  <c r="D11" i="62"/>
  <c r="D124" i="62"/>
  <c r="D19" i="62"/>
  <c r="D91" i="62"/>
  <c r="D81" i="62"/>
  <c r="H81" i="62" s="1"/>
  <c r="G171" i="62"/>
  <c r="F171" i="62"/>
  <c r="D171" i="62"/>
  <c r="C171" i="62"/>
  <c r="H170" i="62"/>
  <c r="E169" i="62"/>
  <c r="H169" i="62" s="1"/>
  <c r="H168" i="62"/>
  <c r="H167" i="62"/>
  <c r="H166" i="62"/>
  <c r="E165" i="62"/>
  <c r="H165" i="62" s="1"/>
  <c r="E164" i="62"/>
  <c r="H164" i="62" s="1"/>
  <c r="E163" i="62"/>
  <c r="H163" i="62" s="1"/>
  <c r="E162" i="62"/>
  <c r="H161" i="62"/>
  <c r="H160" i="62"/>
  <c r="H159" i="62"/>
  <c r="H158" i="62"/>
  <c r="H157" i="62"/>
  <c r="H156" i="62"/>
  <c r="H154" i="62"/>
  <c r="E153" i="62"/>
  <c r="H153" i="62" s="1"/>
  <c r="H152" i="62"/>
  <c r="E151" i="62"/>
  <c r="H151" i="62" s="1"/>
  <c r="H150" i="62"/>
  <c r="H149" i="62"/>
  <c r="C148" i="62"/>
  <c r="H147" i="62"/>
  <c r="H146" i="62"/>
  <c r="E145" i="62"/>
  <c r="H145" i="62" s="1"/>
  <c r="C144" i="62"/>
  <c r="H144" i="62" s="1"/>
  <c r="H143" i="62"/>
  <c r="H142" i="62"/>
  <c r="C141" i="62"/>
  <c r="H141" i="62" s="1"/>
  <c r="H140" i="62"/>
  <c r="H139" i="62"/>
  <c r="E138" i="62"/>
  <c r="H138" i="62" s="1"/>
  <c r="C137" i="62"/>
  <c r="H137" i="62" s="1"/>
  <c r="E136" i="62"/>
  <c r="C136" i="62"/>
  <c r="E135" i="62"/>
  <c r="C135" i="62"/>
  <c r="H134" i="62"/>
  <c r="H133" i="62"/>
  <c r="C132" i="62"/>
  <c r="H132" i="62" s="1"/>
  <c r="H131" i="62"/>
  <c r="H130" i="62"/>
  <c r="H129" i="62"/>
  <c r="H128" i="62"/>
  <c r="H127" i="62"/>
  <c r="H126" i="62"/>
  <c r="H125" i="62"/>
  <c r="H123" i="62"/>
  <c r="H122" i="62"/>
  <c r="H121" i="62"/>
  <c r="C120" i="62"/>
  <c r="H120" i="62" s="1"/>
  <c r="H119" i="62"/>
  <c r="H118" i="62"/>
  <c r="H117" i="62"/>
  <c r="E116" i="62"/>
  <c r="H116" i="62" s="1"/>
  <c r="H115" i="62"/>
  <c r="H114" i="62"/>
  <c r="H113" i="62"/>
  <c r="H112" i="62"/>
  <c r="H111" i="62"/>
  <c r="H110" i="62"/>
  <c r="H109" i="62"/>
  <c r="H108" i="62"/>
  <c r="H107" i="62"/>
  <c r="H106" i="62"/>
  <c r="H105" i="62"/>
  <c r="H104" i="62"/>
  <c r="H103" i="62"/>
  <c r="H102" i="62"/>
  <c r="H101" i="62"/>
  <c r="H100" i="62"/>
  <c r="G99" i="62"/>
  <c r="F99" i="62"/>
  <c r="H98" i="62"/>
  <c r="H97" i="62"/>
  <c r="H95" i="62"/>
  <c r="H94" i="62"/>
  <c r="C93" i="62"/>
  <c r="C92" i="62" s="1"/>
  <c r="G92" i="62"/>
  <c r="F92" i="62"/>
  <c r="E91" i="62"/>
  <c r="H90" i="62"/>
  <c r="H89" i="62"/>
  <c r="H88" i="62"/>
  <c r="E87" i="62"/>
  <c r="H87" i="62" s="1"/>
  <c r="H86" i="62"/>
  <c r="E85" i="62"/>
  <c r="H85" i="62" s="1"/>
  <c r="H84" i="62"/>
  <c r="H83" i="62"/>
  <c r="H82" i="62"/>
  <c r="C80" i="62"/>
  <c r="H80" i="62" s="1"/>
  <c r="H79" i="62"/>
  <c r="H78" i="62"/>
  <c r="H77" i="62"/>
  <c r="E76" i="62"/>
  <c r="H76" i="62" s="1"/>
  <c r="E75" i="62"/>
  <c r="H75" i="62" s="1"/>
  <c r="E74" i="62"/>
  <c r="C74" i="62"/>
  <c r="E73" i="62"/>
  <c r="H73" i="62" s="1"/>
  <c r="H72" i="62"/>
  <c r="H71" i="62"/>
  <c r="H70" i="62"/>
  <c r="E69" i="62"/>
  <c r="H69" i="62" s="1"/>
  <c r="H68" i="62"/>
  <c r="E66" i="62"/>
  <c r="H66" i="62" s="1"/>
  <c r="H65" i="62"/>
  <c r="H64" i="62"/>
  <c r="H63" i="62"/>
  <c r="H62" i="62"/>
  <c r="H61" i="62"/>
  <c r="H60" i="62"/>
  <c r="H59" i="62"/>
  <c r="H58" i="62"/>
  <c r="E57" i="62"/>
  <c r="C57" i="62"/>
  <c r="E56" i="62"/>
  <c r="H56" i="62" s="1"/>
  <c r="E55" i="62"/>
  <c r="H55" i="62" s="1"/>
  <c r="H54" i="62"/>
  <c r="E53" i="62"/>
  <c r="H53" i="62" s="1"/>
  <c r="H52" i="62"/>
  <c r="H51" i="62"/>
  <c r="H50" i="62"/>
  <c r="H49" i="62"/>
  <c r="H48" i="62"/>
  <c r="H47" i="62"/>
  <c r="H46" i="62"/>
  <c r="H45" i="62"/>
  <c r="H44" i="62"/>
  <c r="H43" i="62"/>
  <c r="H42" i="62"/>
  <c r="H41" i="62"/>
  <c r="H40" i="62"/>
  <c r="H39" i="62"/>
  <c r="H38" i="62"/>
  <c r="C37" i="62"/>
  <c r="H37" i="62" s="1"/>
  <c r="H36" i="62"/>
  <c r="E35" i="62"/>
  <c r="C35" i="62"/>
  <c r="E34" i="62"/>
  <c r="C34" i="62"/>
  <c r="E33" i="62"/>
  <c r="H31" i="62"/>
  <c r="E30" i="62"/>
  <c r="E29" i="62" s="1"/>
  <c r="C29" i="62"/>
  <c r="H28" i="62"/>
  <c r="C26" i="62"/>
  <c r="H26" i="62" s="1"/>
  <c r="H25" i="62"/>
  <c r="C25" i="62"/>
  <c r="H24" i="62"/>
  <c r="H23" i="62"/>
  <c r="G22" i="62"/>
  <c r="E22" i="62"/>
  <c r="E21" i="62"/>
  <c r="H21" i="62" s="1"/>
  <c r="C20" i="62"/>
  <c r="H20" i="62" s="1"/>
  <c r="E19" i="62"/>
  <c r="C19" i="62"/>
  <c r="G14" i="62"/>
  <c r="H14" i="62" s="1"/>
  <c r="C13" i="62"/>
  <c r="H13" i="62" s="1"/>
  <c r="F12" i="62"/>
  <c r="H12" i="62" s="1"/>
  <c r="F11" i="62"/>
  <c r="E10" i="62"/>
  <c r="H10" i="62" s="1"/>
  <c r="E9" i="62"/>
  <c r="C8" i="62"/>
  <c r="H8" i="62" s="1"/>
  <c r="E9" i="60"/>
  <c r="E96" i="60"/>
  <c r="E165" i="60"/>
  <c r="E135" i="60"/>
  <c r="E53" i="60"/>
  <c r="E19" i="60"/>
  <c r="E37" i="60"/>
  <c r="E30" i="60"/>
  <c r="C22" i="62" l="1"/>
  <c r="E124" i="62"/>
  <c r="C67" i="62"/>
  <c r="H93" i="62"/>
  <c r="C7" i="62"/>
  <c r="H7" i="62" s="1"/>
  <c r="E15" i="62"/>
  <c r="C32" i="62"/>
  <c r="H74" i="62"/>
  <c r="H136" i="62"/>
  <c r="E171" i="62"/>
  <c r="D67" i="62"/>
  <c r="D155" i="62" s="1"/>
  <c r="D172" i="62" s="1"/>
  <c r="H19" i="62"/>
  <c r="F15" i="62"/>
  <c r="H135" i="62"/>
  <c r="H124" i="62" s="1"/>
  <c r="E148" i="62"/>
  <c r="H11" i="62"/>
  <c r="H30" i="62"/>
  <c r="H29" i="62" s="1"/>
  <c r="H91" i="62"/>
  <c r="D15" i="62"/>
  <c r="E32" i="62"/>
  <c r="H34" i="62"/>
  <c r="H9" i="62"/>
  <c r="G15" i="62"/>
  <c r="H27" i="62"/>
  <c r="H22" i="62" s="1"/>
  <c r="C99" i="62"/>
  <c r="G155" i="62"/>
  <c r="G172" i="62" s="1"/>
  <c r="H99" i="62"/>
  <c r="H33" i="62"/>
  <c r="H35" i="62"/>
  <c r="H57" i="62"/>
  <c r="F155" i="62"/>
  <c r="F172" i="62" s="1"/>
  <c r="C124" i="62"/>
  <c r="H148" i="62"/>
  <c r="H162" i="62"/>
  <c r="H171" i="62" s="1"/>
  <c r="E92" i="62"/>
  <c r="E99" i="62"/>
  <c r="E67" i="62"/>
  <c r="H96" i="62"/>
  <c r="F12" i="60"/>
  <c r="G171" i="60"/>
  <c r="F171" i="60"/>
  <c r="D171" i="60"/>
  <c r="C171" i="60"/>
  <c r="H170" i="60"/>
  <c r="E169" i="60"/>
  <c r="H169" i="60" s="1"/>
  <c r="H168" i="60"/>
  <c r="H167" i="60"/>
  <c r="E166" i="60"/>
  <c r="H166" i="60" s="1"/>
  <c r="H165" i="60"/>
  <c r="E164" i="60"/>
  <c r="H164" i="60" s="1"/>
  <c r="E163" i="60"/>
  <c r="H163" i="60" s="1"/>
  <c r="E162" i="60"/>
  <c r="H161" i="60"/>
  <c r="H160" i="60"/>
  <c r="H159" i="60"/>
  <c r="H158" i="60"/>
  <c r="H157" i="60"/>
  <c r="H156" i="60"/>
  <c r="H154" i="60"/>
  <c r="E154" i="60"/>
  <c r="E153" i="60"/>
  <c r="H153" i="60" s="1"/>
  <c r="H152" i="60"/>
  <c r="E151" i="60"/>
  <c r="H151" i="60" s="1"/>
  <c r="H150" i="60"/>
  <c r="H149" i="60"/>
  <c r="C148" i="60"/>
  <c r="E147" i="60"/>
  <c r="H147" i="60" s="1"/>
  <c r="H146" i="60"/>
  <c r="E145" i="60"/>
  <c r="H145" i="60" s="1"/>
  <c r="C144" i="60"/>
  <c r="H144" i="60" s="1"/>
  <c r="H143" i="60"/>
  <c r="H142" i="60"/>
  <c r="C141" i="60"/>
  <c r="H141" i="60" s="1"/>
  <c r="H140" i="60"/>
  <c r="H139" i="60"/>
  <c r="E138" i="60"/>
  <c r="H138" i="60" s="1"/>
  <c r="C137" i="60"/>
  <c r="H137" i="60" s="1"/>
  <c r="E136" i="60"/>
  <c r="C136" i="60"/>
  <c r="C135" i="60"/>
  <c r="H135" i="60" s="1"/>
  <c r="H134" i="60"/>
  <c r="H133" i="60"/>
  <c r="C132" i="60"/>
  <c r="H132" i="60" s="1"/>
  <c r="H131" i="60"/>
  <c r="H130" i="60"/>
  <c r="H129" i="60"/>
  <c r="H128" i="60"/>
  <c r="H127" i="60"/>
  <c r="H126" i="60"/>
  <c r="H125" i="60"/>
  <c r="H123" i="60"/>
  <c r="H122" i="60"/>
  <c r="H121" i="60"/>
  <c r="H120" i="60"/>
  <c r="C120" i="60"/>
  <c r="C119" i="60"/>
  <c r="H119" i="60" s="1"/>
  <c r="H118" i="60"/>
  <c r="H117" i="60"/>
  <c r="E116" i="60"/>
  <c r="H116" i="60" s="1"/>
  <c r="H115" i="60"/>
  <c r="H114" i="60"/>
  <c r="H113" i="60"/>
  <c r="H112" i="60"/>
  <c r="H111" i="60"/>
  <c r="C110" i="60"/>
  <c r="H110" i="60" s="1"/>
  <c r="H109" i="60"/>
  <c r="H108" i="60"/>
  <c r="H107" i="60"/>
  <c r="H106" i="60"/>
  <c r="C105" i="60"/>
  <c r="H105" i="60" s="1"/>
  <c r="H104" i="60"/>
  <c r="H103" i="60"/>
  <c r="H102" i="60"/>
  <c r="H101" i="60"/>
  <c r="H100" i="60"/>
  <c r="G99" i="60"/>
  <c r="F99" i="60"/>
  <c r="E98" i="60"/>
  <c r="H98" i="60" s="1"/>
  <c r="H97" i="60"/>
  <c r="H95" i="60"/>
  <c r="E95" i="60"/>
  <c r="H94" i="60"/>
  <c r="C93" i="60"/>
  <c r="H93" i="60" s="1"/>
  <c r="G92" i="60"/>
  <c r="F92" i="60"/>
  <c r="E91" i="60"/>
  <c r="H91" i="60" s="1"/>
  <c r="H90" i="60"/>
  <c r="H89" i="60"/>
  <c r="H88" i="60"/>
  <c r="E87" i="60"/>
  <c r="H87" i="60" s="1"/>
  <c r="H86" i="60"/>
  <c r="E85" i="60"/>
  <c r="H85" i="60" s="1"/>
  <c r="H84" i="60"/>
  <c r="H83" i="60"/>
  <c r="H82" i="60"/>
  <c r="H81" i="60"/>
  <c r="C80" i="60"/>
  <c r="H80" i="60" s="1"/>
  <c r="H79" i="60"/>
  <c r="E78" i="60"/>
  <c r="H78" i="60" s="1"/>
  <c r="H77" i="60"/>
  <c r="E76" i="60"/>
  <c r="H76" i="60" s="1"/>
  <c r="E75" i="60"/>
  <c r="H75" i="60" s="1"/>
  <c r="E74" i="60"/>
  <c r="C74" i="60"/>
  <c r="E73" i="60"/>
  <c r="H73" i="60" s="1"/>
  <c r="H72" i="60"/>
  <c r="H71" i="60"/>
  <c r="H70" i="60"/>
  <c r="E69" i="60"/>
  <c r="H69" i="60" s="1"/>
  <c r="H68" i="60"/>
  <c r="D67" i="60"/>
  <c r="D155" i="60" s="1"/>
  <c r="E66" i="60"/>
  <c r="E57" i="60" s="1"/>
  <c r="H65" i="60"/>
  <c r="H64" i="60"/>
  <c r="H63" i="60"/>
  <c r="H62" i="60"/>
  <c r="H61" i="60"/>
  <c r="H60" i="60"/>
  <c r="H59" i="60"/>
  <c r="H58" i="60"/>
  <c r="C57" i="60"/>
  <c r="E56" i="60"/>
  <c r="H56" i="60" s="1"/>
  <c r="E55" i="60"/>
  <c r="H55" i="60" s="1"/>
  <c r="H54" i="60"/>
  <c r="H53" i="60"/>
  <c r="H52" i="60"/>
  <c r="H51" i="60"/>
  <c r="H50" i="60"/>
  <c r="H49" i="60"/>
  <c r="H48" i="60"/>
  <c r="H47" i="60"/>
  <c r="H46" i="60"/>
  <c r="H45" i="60"/>
  <c r="H44" i="60"/>
  <c r="C43" i="60"/>
  <c r="H43" i="60" s="1"/>
  <c r="H42" i="60"/>
  <c r="C41" i="60"/>
  <c r="H41" i="60" s="1"/>
  <c r="C40" i="60"/>
  <c r="H40" i="60" s="1"/>
  <c r="C39" i="60"/>
  <c r="H39" i="60" s="1"/>
  <c r="H38" i="60"/>
  <c r="C38" i="60"/>
  <c r="C37" i="60"/>
  <c r="H37" i="60" s="1"/>
  <c r="H36" i="60"/>
  <c r="E35" i="60"/>
  <c r="C35" i="60"/>
  <c r="E34" i="60"/>
  <c r="C34" i="60"/>
  <c r="E33" i="60"/>
  <c r="H33" i="60" s="1"/>
  <c r="H31" i="60"/>
  <c r="H30" i="60"/>
  <c r="H29" i="60" s="1"/>
  <c r="E29" i="60"/>
  <c r="C29" i="60"/>
  <c r="C28" i="60"/>
  <c r="H28" i="60" s="1"/>
  <c r="C27" i="60"/>
  <c r="H27" i="60" s="1"/>
  <c r="C26" i="60"/>
  <c r="H26" i="60" s="1"/>
  <c r="C25" i="60"/>
  <c r="H25" i="60" s="1"/>
  <c r="H24" i="60"/>
  <c r="H23" i="60"/>
  <c r="G22" i="60"/>
  <c r="E22" i="60"/>
  <c r="E21" i="60"/>
  <c r="H21" i="60" s="1"/>
  <c r="C20" i="60"/>
  <c r="H20" i="60" s="1"/>
  <c r="C19" i="60"/>
  <c r="H19" i="60" s="1"/>
  <c r="G14" i="60"/>
  <c r="H14" i="60" s="1"/>
  <c r="C13" i="60"/>
  <c r="H13" i="60" s="1"/>
  <c r="H12" i="60"/>
  <c r="F11" i="60"/>
  <c r="D11" i="60"/>
  <c r="D15" i="60" s="1"/>
  <c r="E10" i="60"/>
  <c r="H10" i="60" s="1"/>
  <c r="H9" i="60"/>
  <c r="C8" i="60"/>
  <c r="H8" i="60" s="1"/>
  <c r="F92" i="58"/>
  <c r="E147" i="58"/>
  <c r="E154" i="58"/>
  <c r="C35" i="58"/>
  <c r="C132" i="58"/>
  <c r="C105" i="58"/>
  <c r="C113" i="58"/>
  <c r="E138" i="58"/>
  <c r="E136" i="58"/>
  <c r="H92" i="62" l="1"/>
  <c r="H67" i="62"/>
  <c r="H155" i="62" s="1"/>
  <c r="H172" i="62" s="1"/>
  <c r="C124" i="60"/>
  <c r="H136" i="60"/>
  <c r="H32" i="62"/>
  <c r="E155" i="62"/>
  <c r="E172" i="62" s="1"/>
  <c r="C155" i="62"/>
  <c r="C172" i="62" s="1"/>
  <c r="C15" i="62"/>
  <c r="H15" i="62"/>
  <c r="E15" i="60"/>
  <c r="D172" i="60"/>
  <c r="H74" i="60"/>
  <c r="G155" i="60"/>
  <c r="G172" i="60" s="1"/>
  <c r="H34" i="60"/>
  <c r="F155" i="60"/>
  <c r="F172" i="60" s="1"/>
  <c r="E92" i="60"/>
  <c r="H99" i="60"/>
  <c r="C22" i="60"/>
  <c r="C7" i="60" s="1"/>
  <c r="H7" i="60" s="1"/>
  <c r="H15" i="60" s="1"/>
  <c r="H35" i="60"/>
  <c r="C67" i="60"/>
  <c r="H11" i="60"/>
  <c r="G15" i="60"/>
  <c r="H148" i="60"/>
  <c r="E124" i="60"/>
  <c r="E148" i="60"/>
  <c r="C32" i="60"/>
  <c r="C92" i="60"/>
  <c r="C99" i="60"/>
  <c r="E171" i="60"/>
  <c r="F15" i="60"/>
  <c r="H124" i="60"/>
  <c r="H22" i="60"/>
  <c r="H67" i="60"/>
  <c r="E32" i="60"/>
  <c r="H66" i="60"/>
  <c r="H57" i="60" s="1"/>
  <c r="E99" i="60"/>
  <c r="H162" i="60"/>
  <c r="H171" i="60" s="1"/>
  <c r="E67" i="60"/>
  <c r="H96" i="60"/>
  <c r="H92" i="60" s="1"/>
  <c r="F11" i="58"/>
  <c r="H32" i="60" l="1"/>
  <c r="C155" i="60"/>
  <c r="C172" i="60" s="1"/>
  <c r="C15" i="60"/>
  <c r="E155" i="60"/>
  <c r="E172" i="60" s="1"/>
  <c r="H155" i="60"/>
  <c r="H172" i="60" s="1"/>
  <c r="G171" i="58"/>
  <c r="F171" i="58"/>
  <c r="D171" i="58"/>
  <c r="C171" i="58"/>
  <c r="H170" i="58"/>
  <c r="E169" i="58"/>
  <c r="H169" i="58" s="1"/>
  <c r="H168" i="58"/>
  <c r="H167" i="58"/>
  <c r="E166" i="58"/>
  <c r="H166" i="58" s="1"/>
  <c r="H165" i="58"/>
  <c r="E164" i="58"/>
  <c r="H164" i="58" s="1"/>
  <c r="E163" i="58"/>
  <c r="H163" i="58" s="1"/>
  <c r="E162" i="58"/>
  <c r="H161" i="58"/>
  <c r="H160" i="58"/>
  <c r="H159" i="58"/>
  <c r="H158" i="58"/>
  <c r="H157" i="58"/>
  <c r="H156" i="58"/>
  <c r="H154" i="58"/>
  <c r="E153" i="58"/>
  <c r="H153" i="58" s="1"/>
  <c r="H152" i="58"/>
  <c r="E151" i="58"/>
  <c r="H151" i="58" s="1"/>
  <c r="H150" i="58"/>
  <c r="H149" i="58"/>
  <c r="C148" i="58"/>
  <c r="H147" i="58"/>
  <c r="H146" i="58"/>
  <c r="E145" i="58"/>
  <c r="H145" i="58" s="1"/>
  <c r="C144" i="58"/>
  <c r="H144" i="58" s="1"/>
  <c r="H143" i="58"/>
  <c r="H142" i="58"/>
  <c r="C141" i="58"/>
  <c r="H141" i="58" s="1"/>
  <c r="H140" i="58"/>
  <c r="H139" i="58"/>
  <c r="H138" i="58"/>
  <c r="C137" i="58"/>
  <c r="H137" i="58" s="1"/>
  <c r="C136" i="58"/>
  <c r="H136" i="58" s="1"/>
  <c r="E135" i="58"/>
  <c r="C135" i="58"/>
  <c r="H134" i="58"/>
  <c r="H133" i="58"/>
  <c r="H132" i="58"/>
  <c r="H131" i="58"/>
  <c r="H130" i="58"/>
  <c r="H129" i="58"/>
  <c r="H128" i="58"/>
  <c r="H127" i="58"/>
  <c r="H126" i="58"/>
  <c r="H125" i="58"/>
  <c r="E124" i="58"/>
  <c r="C124" i="58"/>
  <c r="H123" i="58"/>
  <c r="H122" i="58"/>
  <c r="H121" i="58"/>
  <c r="C120" i="58"/>
  <c r="H120" i="58" s="1"/>
  <c r="C119" i="58"/>
  <c r="H118" i="58"/>
  <c r="H117" i="58"/>
  <c r="E116" i="58"/>
  <c r="H116" i="58" s="1"/>
  <c r="H115" i="58"/>
  <c r="H114" i="58"/>
  <c r="H113" i="58"/>
  <c r="H112" i="58"/>
  <c r="H111" i="58"/>
  <c r="C110" i="58"/>
  <c r="H110" i="58" s="1"/>
  <c r="H109" i="58"/>
  <c r="H108" i="58"/>
  <c r="H107" i="58"/>
  <c r="H106" i="58"/>
  <c r="H105" i="58"/>
  <c r="H104" i="58"/>
  <c r="H103" i="58"/>
  <c r="H102" i="58"/>
  <c r="H101" i="58"/>
  <c r="H100" i="58"/>
  <c r="G99" i="58"/>
  <c r="F99" i="58"/>
  <c r="F155" i="58" s="1"/>
  <c r="F172" i="58" s="1"/>
  <c r="E99" i="58"/>
  <c r="E98" i="58"/>
  <c r="H98" i="58" s="1"/>
  <c r="H97" i="58"/>
  <c r="H96" i="58"/>
  <c r="E96" i="58"/>
  <c r="E95" i="58"/>
  <c r="H95" i="58" s="1"/>
  <c r="H94" i="58"/>
  <c r="C93" i="58"/>
  <c r="H93" i="58" s="1"/>
  <c r="G92" i="58"/>
  <c r="E91" i="58"/>
  <c r="H91" i="58" s="1"/>
  <c r="H90" i="58"/>
  <c r="H89" i="58"/>
  <c r="H88" i="58"/>
  <c r="E87" i="58"/>
  <c r="H87" i="58" s="1"/>
  <c r="H86" i="58"/>
  <c r="H85" i="58"/>
  <c r="E85" i="58"/>
  <c r="H84" i="58"/>
  <c r="H83" i="58"/>
  <c r="H82" i="58"/>
  <c r="H81" i="58"/>
  <c r="C80" i="58"/>
  <c r="H80" i="58" s="1"/>
  <c r="H79" i="58"/>
  <c r="H78" i="58"/>
  <c r="E78" i="58"/>
  <c r="H77" i="58"/>
  <c r="E76" i="58"/>
  <c r="H76" i="58" s="1"/>
  <c r="E75" i="58"/>
  <c r="H75" i="58" s="1"/>
  <c r="E74" i="58"/>
  <c r="C74" i="58"/>
  <c r="H74" i="58" s="1"/>
  <c r="E73" i="58"/>
  <c r="H73" i="58" s="1"/>
  <c r="H72" i="58"/>
  <c r="H71" i="58"/>
  <c r="H70" i="58"/>
  <c r="E69" i="58"/>
  <c r="H69" i="58" s="1"/>
  <c r="H68" i="58"/>
  <c r="D67" i="58"/>
  <c r="D155" i="58" s="1"/>
  <c r="E66" i="58"/>
  <c r="H66" i="58" s="1"/>
  <c r="H65" i="58"/>
  <c r="H64" i="58"/>
  <c r="H63" i="58"/>
  <c r="H62" i="58"/>
  <c r="H61" i="58"/>
  <c r="H60" i="58"/>
  <c r="H59" i="58"/>
  <c r="H58" i="58"/>
  <c r="H57" i="58" s="1"/>
  <c r="C57" i="58"/>
  <c r="H56" i="58"/>
  <c r="E56" i="58"/>
  <c r="E55" i="58"/>
  <c r="H55" i="58" s="1"/>
  <c r="H54" i="58"/>
  <c r="H53" i="58"/>
  <c r="E53" i="58"/>
  <c r="H52" i="58"/>
  <c r="H51" i="58"/>
  <c r="H50" i="58"/>
  <c r="H49" i="58"/>
  <c r="H48" i="58"/>
  <c r="H47" i="58"/>
  <c r="H46" i="58"/>
  <c r="H45" i="58"/>
  <c r="H44" i="58"/>
  <c r="H43" i="58"/>
  <c r="C43" i="58"/>
  <c r="H42" i="58"/>
  <c r="C41" i="58"/>
  <c r="H41" i="58" s="1"/>
  <c r="H40" i="58"/>
  <c r="C40" i="58"/>
  <c r="C39" i="58"/>
  <c r="H39" i="58" s="1"/>
  <c r="H38" i="58"/>
  <c r="C38" i="58"/>
  <c r="C37" i="58"/>
  <c r="H37" i="58" s="1"/>
  <c r="H36" i="58"/>
  <c r="E35" i="58"/>
  <c r="H35" i="58" s="1"/>
  <c r="E34" i="58"/>
  <c r="C34" i="58"/>
  <c r="E33" i="58"/>
  <c r="E32" i="58" s="1"/>
  <c r="H31" i="58"/>
  <c r="E30" i="58"/>
  <c r="E29" i="58" s="1"/>
  <c r="C29" i="58"/>
  <c r="C28" i="58"/>
  <c r="H28" i="58" s="1"/>
  <c r="C27" i="58"/>
  <c r="H27" i="58" s="1"/>
  <c r="C26" i="58"/>
  <c r="H26" i="58" s="1"/>
  <c r="C25" i="58"/>
  <c r="H25" i="58" s="1"/>
  <c r="H24" i="58"/>
  <c r="H23" i="58"/>
  <c r="G22" i="58"/>
  <c r="E22" i="58"/>
  <c r="E21" i="58"/>
  <c r="H21" i="58" s="1"/>
  <c r="C20" i="58"/>
  <c r="H20" i="58" s="1"/>
  <c r="E19" i="58"/>
  <c r="C19" i="58"/>
  <c r="G14" i="58"/>
  <c r="G15" i="58" s="1"/>
  <c r="C13" i="58"/>
  <c r="H13" i="58" s="1"/>
  <c r="H12" i="58"/>
  <c r="H11" i="58"/>
  <c r="D11" i="58"/>
  <c r="D15" i="58" s="1"/>
  <c r="E10" i="58"/>
  <c r="E9" i="58"/>
  <c r="H9" i="58" s="1"/>
  <c r="C8" i="58"/>
  <c r="H8" i="58" s="1"/>
  <c r="E9" i="56"/>
  <c r="H9" i="56" s="1"/>
  <c r="C110" i="56"/>
  <c r="H110" i="56" s="1"/>
  <c r="C43" i="56"/>
  <c r="H43" i="56" s="1"/>
  <c r="E166" i="56"/>
  <c r="H166" i="56" s="1"/>
  <c r="E154" i="56"/>
  <c r="H154" i="56" s="1"/>
  <c r="E153" i="56"/>
  <c r="H153" i="56" s="1"/>
  <c r="E138" i="56"/>
  <c r="H138" i="56" s="1"/>
  <c r="E164" i="56"/>
  <c r="H164" i="56" s="1"/>
  <c r="G171" i="56"/>
  <c r="F171" i="56"/>
  <c r="D171" i="56"/>
  <c r="C171" i="56"/>
  <c r="H170" i="56"/>
  <c r="H169" i="56"/>
  <c r="E169" i="56"/>
  <c r="H168" i="56"/>
  <c r="H167" i="56"/>
  <c r="H165" i="56"/>
  <c r="E163" i="56"/>
  <c r="H163" i="56" s="1"/>
  <c r="E162" i="56"/>
  <c r="H161" i="56"/>
  <c r="H160" i="56"/>
  <c r="H159" i="56"/>
  <c r="H158" i="56"/>
  <c r="H157" i="56"/>
  <c r="H156" i="56"/>
  <c r="H152" i="56"/>
  <c r="E151" i="56"/>
  <c r="H151" i="56" s="1"/>
  <c r="H150" i="56"/>
  <c r="H149" i="56"/>
  <c r="C148" i="56"/>
  <c r="E147" i="56"/>
  <c r="H147" i="56" s="1"/>
  <c r="H146" i="56"/>
  <c r="E145" i="56"/>
  <c r="H145" i="56" s="1"/>
  <c r="H144" i="56"/>
  <c r="C144" i="56"/>
  <c r="H143" i="56"/>
  <c r="H142" i="56"/>
  <c r="H141" i="56"/>
  <c r="C141" i="56"/>
  <c r="H140" i="56"/>
  <c r="H139" i="56"/>
  <c r="H137" i="56"/>
  <c r="C137" i="56"/>
  <c r="E136" i="56"/>
  <c r="C136" i="56"/>
  <c r="H136" i="56" s="1"/>
  <c r="E135" i="56"/>
  <c r="H135" i="56" s="1"/>
  <c r="C135" i="56"/>
  <c r="H134" i="56"/>
  <c r="H133" i="56"/>
  <c r="H132" i="56"/>
  <c r="C132" i="56"/>
  <c r="H131" i="56"/>
  <c r="H130" i="56"/>
  <c r="H129" i="56"/>
  <c r="H128" i="56"/>
  <c r="H127" i="56"/>
  <c r="H126" i="56"/>
  <c r="H125" i="56"/>
  <c r="H123" i="56"/>
  <c r="H122" i="56"/>
  <c r="H121" i="56"/>
  <c r="C120" i="56"/>
  <c r="H120" i="56" s="1"/>
  <c r="C119" i="56"/>
  <c r="H118" i="56"/>
  <c r="H117" i="56"/>
  <c r="E116" i="56"/>
  <c r="H116" i="56" s="1"/>
  <c r="H115" i="56"/>
  <c r="H114" i="56"/>
  <c r="H113" i="56"/>
  <c r="H112" i="56"/>
  <c r="H111" i="56"/>
  <c r="H109" i="56"/>
  <c r="H108" i="56"/>
  <c r="H107" i="56"/>
  <c r="H106" i="56"/>
  <c r="H105" i="56"/>
  <c r="H104" i="56"/>
  <c r="H103" i="56"/>
  <c r="H102" i="56"/>
  <c r="H101" i="56"/>
  <c r="H100" i="56"/>
  <c r="G99" i="56"/>
  <c r="F99" i="56"/>
  <c r="F155" i="56" s="1"/>
  <c r="F172" i="56" s="1"/>
  <c r="E98" i="56"/>
  <c r="H98" i="56" s="1"/>
  <c r="H97" i="56"/>
  <c r="E96" i="56"/>
  <c r="H96" i="56" s="1"/>
  <c r="E95" i="56"/>
  <c r="H94" i="56"/>
  <c r="H93" i="56"/>
  <c r="C93" i="56"/>
  <c r="C92" i="56" s="1"/>
  <c r="G92" i="56"/>
  <c r="H91" i="56"/>
  <c r="E91" i="56"/>
  <c r="H90" i="56"/>
  <c r="H89" i="56"/>
  <c r="H88" i="56"/>
  <c r="E87" i="56"/>
  <c r="H87" i="56" s="1"/>
  <c r="H86" i="56"/>
  <c r="E85" i="56"/>
  <c r="H85" i="56" s="1"/>
  <c r="H84" i="56"/>
  <c r="H83" i="56"/>
  <c r="H82" i="56"/>
  <c r="H81" i="56"/>
  <c r="C80" i="56"/>
  <c r="H80" i="56" s="1"/>
  <c r="H79" i="56"/>
  <c r="E78" i="56"/>
  <c r="H78" i="56" s="1"/>
  <c r="H77" i="56"/>
  <c r="E76" i="56"/>
  <c r="H76" i="56" s="1"/>
  <c r="H75" i="56"/>
  <c r="E75" i="56"/>
  <c r="E74" i="56"/>
  <c r="E67" i="56" s="1"/>
  <c r="C74" i="56"/>
  <c r="E73" i="56"/>
  <c r="H73" i="56" s="1"/>
  <c r="H72" i="56"/>
  <c r="H71" i="56"/>
  <c r="H70" i="56"/>
  <c r="E69" i="56"/>
  <c r="H69" i="56" s="1"/>
  <c r="H68" i="56"/>
  <c r="D67" i="56"/>
  <c r="D155" i="56" s="1"/>
  <c r="D172" i="56" s="1"/>
  <c r="E66" i="56"/>
  <c r="H66" i="56" s="1"/>
  <c r="H65" i="56"/>
  <c r="H64" i="56"/>
  <c r="H63" i="56"/>
  <c r="H62" i="56"/>
  <c r="H61" i="56"/>
  <c r="H60" i="56"/>
  <c r="H59" i="56"/>
  <c r="H58" i="56"/>
  <c r="C57" i="56"/>
  <c r="E56" i="56"/>
  <c r="H56" i="56" s="1"/>
  <c r="E55" i="56"/>
  <c r="H55" i="56" s="1"/>
  <c r="H54" i="56"/>
  <c r="E53" i="56"/>
  <c r="H53" i="56" s="1"/>
  <c r="H52" i="56"/>
  <c r="H51" i="56"/>
  <c r="H50" i="56"/>
  <c r="H49" i="56"/>
  <c r="H48" i="56"/>
  <c r="H47" i="56"/>
  <c r="H46" i="56"/>
  <c r="H45" i="56"/>
  <c r="H44" i="56"/>
  <c r="H42" i="56"/>
  <c r="C41" i="56"/>
  <c r="H41" i="56" s="1"/>
  <c r="C40" i="56"/>
  <c r="H40" i="56" s="1"/>
  <c r="C39" i="56"/>
  <c r="H39" i="56" s="1"/>
  <c r="C38" i="56"/>
  <c r="H38" i="56" s="1"/>
  <c r="C37" i="56"/>
  <c r="H37" i="56" s="1"/>
  <c r="H36" i="56"/>
  <c r="E35" i="56"/>
  <c r="C35" i="56"/>
  <c r="E34" i="56"/>
  <c r="C34" i="56"/>
  <c r="E33" i="56"/>
  <c r="H33" i="56" s="1"/>
  <c r="H31" i="56"/>
  <c r="E30" i="56"/>
  <c r="H30" i="56" s="1"/>
  <c r="H29" i="56" s="1"/>
  <c r="C29" i="56"/>
  <c r="C28" i="56"/>
  <c r="H28" i="56" s="1"/>
  <c r="C27" i="56"/>
  <c r="H27" i="56" s="1"/>
  <c r="C26" i="56"/>
  <c r="H26" i="56" s="1"/>
  <c r="H25" i="56"/>
  <c r="C25" i="56"/>
  <c r="H24" i="56"/>
  <c r="H23" i="56"/>
  <c r="G22" i="56"/>
  <c r="E22" i="56"/>
  <c r="C22" i="56"/>
  <c r="C7" i="56" s="1"/>
  <c r="H7" i="56" s="1"/>
  <c r="E21" i="56"/>
  <c r="H21" i="56" s="1"/>
  <c r="C20" i="56"/>
  <c r="H20" i="56" s="1"/>
  <c r="H19" i="56"/>
  <c r="E19" i="56"/>
  <c r="C19" i="56"/>
  <c r="G14" i="56"/>
  <c r="H14" i="56" s="1"/>
  <c r="C13" i="56"/>
  <c r="H13" i="56" s="1"/>
  <c r="H12" i="56"/>
  <c r="F11" i="56"/>
  <c r="F15" i="56" s="1"/>
  <c r="D11" i="56"/>
  <c r="D15" i="56" s="1"/>
  <c r="E10" i="56"/>
  <c r="H10" i="56" s="1"/>
  <c r="C8" i="56"/>
  <c r="H8" i="56" s="1"/>
  <c r="E30" i="53"/>
  <c r="E9" i="53"/>
  <c r="E34" i="53"/>
  <c r="E35" i="53"/>
  <c r="D67" i="53"/>
  <c r="D155" i="53" s="1"/>
  <c r="D11" i="53"/>
  <c r="D15" i="53" s="1"/>
  <c r="E74" i="53"/>
  <c r="E10" i="53"/>
  <c r="F11" i="53"/>
  <c r="D171" i="53"/>
  <c r="G15" i="56" l="1"/>
  <c r="E148" i="56"/>
  <c r="H33" i="58"/>
  <c r="D172" i="58"/>
  <c r="H34" i="56"/>
  <c r="H74" i="56"/>
  <c r="G155" i="56"/>
  <c r="G172" i="56" s="1"/>
  <c r="H148" i="56"/>
  <c r="H67" i="58"/>
  <c r="G155" i="58"/>
  <c r="G172" i="58" s="1"/>
  <c r="H135" i="58"/>
  <c r="C22" i="58"/>
  <c r="C7" i="58" s="1"/>
  <c r="C15" i="58" s="1"/>
  <c r="E15" i="58"/>
  <c r="H19" i="58"/>
  <c r="H22" i="58"/>
  <c r="E67" i="58"/>
  <c r="C92" i="58"/>
  <c r="C99" i="58"/>
  <c r="C155" i="58" s="1"/>
  <c r="C172" i="58" s="1"/>
  <c r="H148" i="58"/>
  <c r="E171" i="58"/>
  <c r="C32" i="58"/>
  <c r="H34" i="58"/>
  <c r="H32" i="58" s="1"/>
  <c r="E148" i="58"/>
  <c r="H124" i="58"/>
  <c r="H92" i="58"/>
  <c r="H10" i="58"/>
  <c r="H14" i="58"/>
  <c r="F15" i="58"/>
  <c r="H30" i="58"/>
  <c r="H29" i="58" s="1"/>
  <c r="E57" i="58"/>
  <c r="C67" i="58"/>
  <c r="E92" i="58"/>
  <c r="H119" i="58"/>
  <c r="H99" i="58" s="1"/>
  <c r="H162" i="58"/>
  <c r="H171" i="58" s="1"/>
  <c r="H22" i="56"/>
  <c r="E99" i="56"/>
  <c r="E29" i="56"/>
  <c r="H35" i="56"/>
  <c r="H32" i="56" s="1"/>
  <c r="C67" i="56"/>
  <c r="E92" i="56"/>
  <c r="C32" i="56"/>
  <c r="C99" i="56"/>
  <c r="E124" i="56"/>
  <c r="E171" i="56"/>
  <c r="H57" i="56"/>
  <c r="H124" i="56"/>
  <c r="H67" i="56"/>
  <c r="C15" i="56"/>
  <c r="H11" i="56"/>
  <c r="H15" i="56" s="1"/>
  <c r="E15" i="56"/>
  <c r="E32" i="56"/>
  <c r="E57" i="56"/>
  <c r="H95" i="56"/>
  <c r="H92" i="56" s="1"/>
  <c r="H119" i="56"/>
  <c r="H99" i="56" s="1"/>
  <c r="H162" i="56"/>
  <c r="H171" i="56" s="1"/>
  <c r="C124" i="56"/>
  <c r="D172" i="53"/>
  <c r="H23" i="53"/>
  <c r="C28" i="53"/>
  <c r="C155" i="56" l="1"/>
  <c r="C172" i="56" s="1"/>
  <c r="H7" i="58"/>
  <c r="E155" i="58"/>
  <c r="E172" i="58" s="1"/>
  <c r="H155" i="58"/>
  <c r="H172" i="58" s="1"/>
  <c r="H15" i="58"/>
  <c r="E155" i="56"/>
  <c r="E172" i="56" s="1"/>
  <c r="H155" i="56"/>
  <c r="H172" i="56" s="1"/>
  <c r="F99" i="53"/>
  <c r="F155" i="53" s="1"/>
  <c r="G99" i="53"/>
  <c r="C141" i="53"/>
  <c r="C120" i="53"/>
  <c r="C119" i="53"/>
  <c r="C74" i="53"/>
  <c r="C40" i="53"/>
  <c r="C39" i="53"/>
  <c r="C38" i="53"/>
  <c r="C41" i="53"/>
  <c r="C136" i="53"/>
  <c r="C135" i="53"/>
  <c r="C132" i="53"/>
  <c r="C37" i="53"/>
  <c r="C35" i="53"/>
  <c r="C34" i="53"/>
  <c r="G14" i="53"/>
  <c r="H14" i="53" s="1"/>
  <c r="H9" i="53" l="1"/>
  <c r="H10" i="53"/>
  <c r="H74" i="53"/>
  <c r="G171" i="53"/>
  <c r="F171" i="53"/>
  <c r="F172" i="53" s="1"/>
  <c r="C171" i="53"/>
  <c r="H170" i="53"/>
  <c r="H169" i="53"/>
  <c r="E169" i="53"/>
  <c r="H168" i="53"/>
  <c r="H167" i="53"/>
  <c r="H166" i="53"/>
  <c r="E166" i="53"/>
  <c r="H165" i="53"/>
  <c r="E164" i="53"/>
  <c r="H164" i="53" s="1"/>
  <c r="E163" i="53"/>
  <c r="H163" i="53" s="1"/>
  <c r="E162" i="53"/>
  <c r="H162" i="53" s="1"/>
  <c r="H161" i="53"/>
  <c r="H160" i="53"/>
  <c r="H159" i="53"/>
  <c r="H158" i="53"/>
  <c r="H157" i="53"/>
  <c r="H156" i="53"/>
  <c r="E154" i="53"/>
  <c r="H154" i="53" s="1"/>
  <c r="E153" i="53"/>
  <c r="H153" i="53" s="1"/>
  <c r="H152" i="53"/>
  <c r="E151" i="53"/>
  <c r="H151" i="53" s="1"/>
  <c r="H150" i="53"/>
  <c r="H149" i="53"/>
  <c r="C148" i="53"/>
  <c r="E147" i="53"/>
  <c r="H147" i="53" s="1"/>
  <c r="H146" i="53"/>
  <c r="E145" i="53"/>
  <c r="H145" i="53" s="1"/>
  <c r="C144" i="53"/>
  <c r="H144" i="53" s="1"/>
  <c r="H143" i="53"/>
  <c r="H142" i="53"/>
  <c r="H141" i="53"/>
  <c r="H140" i="53"/>
  <c r="H139" i="53"/>
  <c r="E138" i="53"/>
  <c r="H138" i="53" s="1"/>
  <c r="C137" i="53"/>
  <c r="H137" i="53" s="1"/>
  <c r="E136" i="53"/>
  <c r="H136" i="53" s="1"/>
  <c r="E135" i="53"/>
  <c r="H134" i="53"/>
  <c r="H133" i="53"/>
  <c r="H132" i="53"/>
  <c r="H131" i="53"/>
  <c r="H130" i="53"/>
  <c r="H129" i="53"/>
  <c r="H128" i="53"/>
  <c r="H127" i="53"/>
  <c r="H126" i="53"/>
  <c r="H125" i="53"/>
  <c r="H123" i="53"/>
  <c r="H122" i="53"/>
  <c r="H121" i="53"/>
  <c r="H120" i="53"/>
  <c r="H119" i="53"/>
  <c r="H118" i="53"/>
  <c r="H117" i="53"/>
  <c r="E116" i="53"/>
  <c r="H116" i="53" s="1"/>
  <c r="H115" i="53"/>
  <c r="H114" i="53"/>
  <c r="H113" i="53"/>
  <c r="H112" i="53"/>
  <c r="H111" i="53"/>
  <c r="H110" i="53"/>
  <c r="H109" i="53"/>
  <c r="H108" i="53"/>
  <c r="H107" i="53"/>
  <c r="H106" i="53"/>
  <c r="H105" i="53"/>
  <c r="H104" i="53"/>
  <c r="H103" i="53"/>
  <c r="H102" i="53"/>
  <c r="H101" i="53"/>
  <c r="H100" i="53"/>
  <c r="C99" i="53"/>
  <c r="E98" i="53"/>
  <c r="H98" i="53" s="1"/>
  <c r="H97" i="53"/>
  <c r="E96" i="53"/>
  <c r="H96" i="53" s="1"/>
  <c r="E95" i="53"/>
  <c r="H95" i="53" s="1"/>
  <c r="H94" i="53"/>
  <c r="C93" i="53"/>
  <c r="H93" i="53" s="1"/>
  <c r="G92" i="53"/>
  <c r="E91" i="53"/>
  <c r="H91" i="53" s="1"/>
  <c r="H90" i="53"/>
  <c r="H89" i="53"/>
  <c r="H88" i="53"/>
  <c r="E87" i="53"/>
  <c r="H87" i="53" s="1"/>
  <c r="H86" i="53"/>
  <c r="E85" i="53"/>
  <c r="H85" i="53" s="1"/>
  <c r="H84" i="53"/>
  <c r="H83" i="53"/>
  <c r="H82" i="53"/>
  <c r="H81" i="53"/>
  <c r="C80" i="53"/>
  <c r="H80" i="53" s="1"/>
  <c r="H79" i="53"/>
  <c r="E78" i="53"/>
  <c r="H78" i="53" s="1"/>
  <c r="H77" i="53"/>
  <c r="E76" i="53"/>
  <c r="H76" i="53" s="1"/>
  <c r="E75" i="53"/>
  <c r="H75" i="53" s="1"/>
  <c r="E73" i="53"/>
  <c r="H73" i="53" s="1"/>
  <c r="H72" i="53"/>
  <c r="H71" i="53"/>
  <c r="H70" i="53"/>
  <c r="E69" i="53"/>
  <c r="H69" i="53" s="1"/>
  <c r="H68" i="53"/>
  <c r="H66" i="53"/>
  <c r="E66" i="53"/>
  <c r="H65" i="53"/>
  <c r="H64" i="53"/>
  <c r="H63" i="53"/>
  <c r="H62" i="53"/>
  <c r="H61" i="53"/>
  <c r="H60" i="53"/>
  <c r="H59" i="53"/>
  <c r="H58" i="53"/>
  <c r="E57" i="53"/>
  <c r="C57" i="53"/>
  <c r="E56" i="53"/>
  <c r="H56" i="53" s="1"/>
  <c r="E55" i="53"/>
  <c r="H55" i="53" s="1"/>
  <c r="H54" i="53"/>
  <c r="E53" i="53"/>
  <c r="H53" i="53" s="1"/>
  <c r="H52" i="53"/>
  <c r="H51" i="53"/>
  <c r="H50" i="53"/>
  <c r="H49" i="53"/>
  <c r="H48" i="53"/>
  <c r="H47" i="53"/>
  <c r="H46" i="53"/>
  <c r="H45" i="53"/>
  <c r="H44" i="53"/>
  <c r="H43" i="53"/>
  <c r="H42" i="53"/>
  <c r="H41" i="53"/>
  <c r="H40" i="53"/>
  <c r="H39" i="53"/>
  <c r="H38" i="53"/>
  <c r="H37" i="53"/>
  <c r="H36" i="53"/>
  <c r="H35" i="53"/>
  <c r="H34" i="53"/>
  <c r="E33" i="53"/>
  <c r="H33" i="53" s="1"/>
  <c r="C32" i="53"/>
  <c r="H31" i="53"/>
  <c r="H30" i="53"/>
  <c r="H29" i="53" s="1"/>
  <c r="E29" i="53"/>
  <c r="C29" i="53"/>
  <c r="H28" i="53"/>
  <c r="C27" i="53"/>
  <c r="H27" i="53" s="1"/>
  <c r="C26" i="53"/>
  <c r="H26" i="53" s="1"/>
  <c r="H25" i="53"/>
  <c r="C25" i="53"/>
  <c r="H24" i="53"/>
  <c r="G22" i="53"/>
  <c r="E22" i="53"/>
  <c r="E21" i="53"/>
  <c r="H21" i="53" s="1"/>
  <c r="C20" i="53"/>
  <c r="H20" i="53" s="1"/>
  <c r="E19" i="53"/>
  <c r="C19" i="53"/>
  <c r="H19" i="53" s="1"/>
  <c r="G15" i="53"/>
  <c r="F15" i="53"/>
  <c r="C13" i="53"/>
  <c r="H13" i="53" s="1"/>
  <c r="H12" i="53"/>
  <c r="H11" i="53"/>
  <c r="C8" i="53"/>
  <c r="H8" i="53" s="1"/>
  <c r="D86" i="50"/>
  <c r="D163" i="50"/>
  <c r="D161" i="50"/>
  <c r="D115" i="50"/>
  <c r="D84" i="50"/>
  <c r="D97" i="50"/>
  <c r="D19" i="50"/>
  <c r="D73" i="50"/>
  <c r="D137" i="50"/>
  <c r="D95" i="50"/>
  <c r="D165" i="50"/>
  <c r="D168" i="50"/>
  <c r="D162" i="50"/>
  <c r="E171" i="50"/>
  <c r="E170" i="50"/>
  <c r="E15" i="50"/>
  <c r="H22" i="53" l="1"/>
  <c r="C67" i="53"/>
  <c r="G155" i="53"/>
  <c r="G172" i="53" s="1"/>
  <c r="H99" i="53"/>
  <c r="C92" i="53"/>
  <c r="C22" i="53"/>
  <c r="E171" i="53"/>
  <c r="E32" i="53"/>
  <c r="H57" i="53"/>
  <c r="E99" i="53"/>
  <c r="E124" i="53"/>
  <c r="E148" i="53"/>
  <c r="E67" i="53"/>
  <c r="E15" i="53"/>
  <c r="H32" i="53"/>
  <c r="H92" i="53"/>
  <c r="H148" i="53"/>
  <c r="H67" i="53"/>
  <c r="H171" i="53"/>
  <c r="C124" i="53"/>
  <c r="H135" i="53"/>
  <c r="H124" i="53" s="1"/>
  <c r="E92" i="53"/>
  <c r="C7" i="53"/>
  <c r="F170" i="50"/>
  <c r="D170" i="50"/>
  <c r="C170" i="50"/>
  <c r="G169" i="50"/>
  <c r="G168" i="50"/>
  <c r="G167" i="50"/>
  <c r="G166" i="50"/>
  <c r="G165" i="50"/>
  <c r="G164" i="50"/>
  <c r="G163" i="50"/>
  <c r="G162" i="50"/>
  <c r="G161" i="50"/>
  <c r="G160" i="50"/>
  <c r="G159" i="50"/>
  <c r="G158" i="50"/>
  <c r="G157" i="50"/>
  <c r="G156" i="50"/>
  <c r="G155" i="50"/>
  <c r="D153" i="50"/>
  <c r="G153" i="50" s="1"/>
  <c r="D152" i="50"/>
  <c r="G152" i="50" s="1"/>
  <c r="G151" i="50"/>
  <c r="D150" i="50"/>
  <c r="G150" i="50" s="1"/>
  <c r="G149" i="50"/>
  <c r="G148" i="50"/>
  <c r="G147" i="50" s="1"/>
  <c r="C147" i="50"/>
  <c r="D146" i="50"/>
  <c r="G146" i="50" s="1"/>
  <c r="G145" i="50"/>
  <c r="D144" i="50"/>
  <c r="G144" i="50" s="1"/>
  <c r="C143" i="50"/>
  <c r="G143" i="50" s="1"/>
  <c r="G142" i="50"/>
  <c r="G141" i="50"/>
  <c r="G140" i="50"/>
  <c r="G139" i="50"/>
  <c r="G138" i="50"/>
  <c r="G137" i="50"/>
  <c r="C136" i="50"/>
  <c r="G136" i="50" s="1"/>
  <c r="G135" i="50"/>
  <c r="D135" i="50"/>
  <c r="D134" i="50"/>
  <c r="D123" i="50" s="1"/>
  <c r="C134" i="50"/>
  <c r="G134" i="50" s="1"/>
  <c r="G133" i="50"/>
  <c r="G132" i="50"/>
  <c r="G131" i="50"/>
  <c r="C131" i="50"/>
  <c r="G130" i="50"/>
  <c r="G129" i="50"/>
  <c r="G128" i="50"/>
  <c r="G127" i="50"/>
  <c r="G126" i="50"/>
  <c r="G125" i="50"/>
  <c r="G124" i="50"/>
  <c r="G122" i="50"/>
  <c r="G121" i="50"/>
  <c r="G120" i="50"/>
  <c r="C119" i="50"/>
  <c r="G119" i="50" s="1"/>
  <c r="G118" i="50"/>
  <c r="G117" i="50"/>
  <c r="G116" i="50"/>
  <c r="G115" i="50"/>
  <c r="G114" i="50"/>
  <c r="G113" i="50"/>
  <c r="G112" i="50"/>
  <c r="G111" i="50"/>
  <c r="G110" i="50"/>
  <c r="G109" i="50"/>
  <c r="G108" i="50"/>
  <c r="G107" i="50"/>
  <c r="G106" i="50"/>
  <c r="G105" i="50"/>
  <c r="G104" i="50"/>
  <c r="G103" i="50"/>
  <c r="G102" i="50"/>
  <c r="G101" i="50"/>
  <c r="G100" i="50"/>
  <c r="G99" i="50"/>
  <c r="D98" i="50"/>
  <c r="G97" i="50"/>
  <c r="G96" i="50"/>
  <c r="G95" i="50"/>
  <c r="D94" i="50"/>
  <c r="D91" i="50" s="1"/>
  <c r="G93" i="50"/>
  <c r="C92" i="50"/>
  <c r="G92" i="50" s="1"/>
  <c r="F91" i="50"/>
  <c r="C91" i="50"/>
  <c r="D90" i="50"/>
  <c r="G90" i="50" s="1"/>
  <c r="G89" i="50"/>
  <c r="G88" i="50"/>
  <c r="G87" i="50"/>
  <c r="G86" i="50"/>
  <c r="G85" i="50"/>
  <c r="G84" i="50"/>
  <c r="G83" i="50"/>
  <c r="G82" i="50"/>
  <c r="G81" i="50"/>
  <c r="G80" i="50"/>
  <c r="G79" i="50"/>
  <c r="C79" i="50"/>
  <c r="G78" i="50"/>
  <c r="D77" i="50"/>
  <c r="G77" i="50" s="1"/>
  <c r="G76" i="50"/>
  <c r="D75" i="50"/>
  <c r="G75" i="50" s="1"/>
  <c r="D74" i="50"/>
  <c r="G74" i="50" s="1"/>
  <c r="G73" i="50"/>
  <c r="D72" i="50"/>
  <c r="G72" i="50" s="1"/>
  <c r="G71" i="50"/>
  <c r="G70" i="50"/>
  <c r="G69" i="50"/>
  <c r="D68" i="50"/>
  <c r="G68" i="50" s="1"/>
  <c r="G67" i="50"/>
  <c r="C66" i="50"/>
  <c r="D65" i="50"/>
  <c r="G65" i="50" s="1"/>
  <c r="G64" i="50"/>
  <c r="G63" i="50"/>
  <c r="G62" i="50"/>
  <c r="G61" i="50"/>
  <c r="G60" i="50"/>
  <c r="G59" i="50"/>
  <c r="G58" i="50"/>
  <c r="G57" i="50"/>
  <c r="D56" i="50"/>
  <c r="C56" i="50"/>
  <c r="D55" i="50"/>
  <c r="G55" i="50" s="1"/>
  <c r="G54" i="50"/>
  <c r="D54" i="50"/>
  <c r="G53" i="50"/>
  <c r="D52" i="50"/>
  <c r="G52" i="50" s="1"/>
  <c r="G51" i="50"/>
  <c r="G50" i="50"/>
  <c r="G49" i="50"/>
  <c r="G48" i="50"/>
  <c r="G47" i="50"/>
  <c r="G46" i="50"/>
  <c r="G45" i="50"/>
  <c r="G44" i="50"/>
  <c r="G43" i="50"/>
  <c r="G42" i="50"/>
  <c r="G41" i="50"/>
  <c r="G40" i="50"/>
  <c r="G39" i="50"/>
  <c r="G38" i="50"/>
  <c r="G37" i="50"/>
  <c r="G36" i="50"/>
  <c r="G35" i="50"/>
  <c r="C34" i="50"/>
  <c r="G34" i="50" s="1"/>
  <c r="G33" i="50"/>
  <c r="G32" i="50"/>
  <c r="D32" i="50"/>
  <c r="D31" i="50"/>
  <c r="C31" i="50"/>
  <c r="G30" i="50"/>
  <c r="G28" i="50" s="1"/>
  <c r="G29" i="50"/>
  <c r="D28" i="50"/>
  <c r="C28" i="50"/>
  <c r="C27" i="50"/>
  <c r="G27" i="50" s="1"/>
  <c r="C26" i="50"/>
  <c r="G26" i="50" s="1"/>
  <c r="C25" i="50"/>
  <c r="G25" i="50" s="1"/>
  <c r="C24" i="50"/>
  <c r="G23" i="50"/>
  <c r="F22" i="50"/>
  <c r="D22" i="50"/>
  <c r="D21" i="50"/>
  <c r="G21" i="50" s="1"/>
  <c r="C20" i="50"/>
  <c r="G20" i="50" s="1"/>
  <c r="C19" i="50"/>
  <c r="G19" i="50" s="1"/>
  <c r="F14" i="50"/>
  <c r="G14" i="50" s="1"/>
  <c r="C13" i="50"/>
  <c r="G13" i="50" s="1"/>
  <c r="G12" i="50"/>
  <c r="G11" i="50"/>
  <c r="D10" i="50"/>
  <c r="G10" i="50" s="1"/>
  <c r="D9" i="50"/>
  <c r="G9" i="50" s="1"/>
  <c r="G8" i="50"/>
  <c r="C8" i="50"/>
  <c r="C27" i="48"/>
  <c r="D146" i="48"/>
  <c r="C136" i="48"/>
  <c r="C13" i="48"/>
  <c r="C19" i="48"/>
  <c r="D22" i="48"/>
  <c r="E22" i="48"/>
  <c r="D9" i="48"/>
  <c r="D15" i="50" l="1"/>
  <c r="G56" i="50"/>
  <c r="F154" i="50"/>
  <c r="F171" i="50" s="1"/>
  <c r="G94" i="50"/>
  <c r="G91" i="50" s="1"/>
  <c r="C123" i="50"/>
  <c r="C22" i="50"/>
  <c r="C7" i="50" s="1"/>
  <c r="G7" i="50" s="1"/>
  <c r="G15" i="50" s="1"/>
  <c r="G98" i="50"/>
  <c r="G24" i="50"/>
  <c r="G22" i="50" s="1"/>
  <c r="D147" i="50"/>
  <c r="C155" i="53"/>
  <c r="C172" i="53" s="1"/>
  <c r="H155" i="53"/>
  <c r="H172" i="53" s="1"/>
  <c r="E155" i="53"/>
  <c r="E172" i="53" s="1"/>
  <c r="C15" i="53"/>
  <c r="H7" i="53"/>
  <c r="H15" i="53" s="1"/>
  <c r="G170" i="50"/>
  <c r="G123" i="50"/>
  <c r="G31" i="50"/>
  <c r="G66" i="50"/>
  <c r="F15" i="50"/>
  <c r="D66" i="50"/>
  <c r="D154" i="50" s="1"/>
  <c r="D171" i="50" s="1"/>
  <c r="C98" i="50"/>
  <c r="C154" i="50" s="1"/>
  <c r="C171" i="50" s="1"/>
  <c r="C20" i="48"/>
  <c r="C134" i="48"/>
  <c r="C8" i="48"/>
  <c r="C15" i="50" l="1"/>
  <c r="G154" i="50"/>
  <c r="G171" i="50" s="1"/>
  <c r="E14" i="48"/>
  <c r="F14" i="48" s="1"/>
  <c r="E170" i="48"/>
  <c r="D170" i="48"/>
  <c r="C170" i="48"/>
  <c r="F169" i="48"/>
  <c r="F168" i="48"/>
  <c r="F167" i="48"/>
  <c r="F166" i="48"/>
  <c r="F165" i="48"/>
  <c r="F164" i="48"/>
  <c r="F163" i="48"/>
  <c r="F162" i="48"/>
  <c r="F161" i="48"/>
  <c r="F160" i="48"/>
  <c r="F159" i="48"/>
  <c r="F158" i="48"/>
  <c r="F157" i="48"/>
  <c r="F156" i="48"/>
  <c r="F155" i="48"/>
  <c r="D153" i="48"/>
  <c r="F153" i="48" s="1"/>
  <c r="D152" i="48"/>
  <c r="F152" i="48" s="1"/>
  <c r="F151" i="48"/>
  <c r="D150" i="48"/>
  <c r="F150" i="48" s="1"/>
  <c r="F149" i="48"/>
  <c r="F148" i="48"/>
  <c r="C147" i="48"/>
  <c r="F146" i="48"/>
  <c r="F145" i="48"/>
  <c r="D144" i="48"/>
  <c r="F144" i="48" s="1"/>
  <c r="C143" i="48"/>
  <c r="F143" i="48" s="1"/>
  <c r="F142" i="48"/>
  <c r="F141" i="48"/>
  <c r="F140" i="48"/>
  <c r="F139" i="48"/>
  <c r="F138" i="48"/>
  <c r="F137" i="48"/>
  <c r="F136" i="48"/>
  <c r="D135" i="48"/>
  <c r="F135" i="48" s="1"/>
  <c r="D134" i="48"/>
  <c r="F133" i="48"/>
  <c r="F132" i="48"/>
  <c r="C131" i="48"/>
  <c r="F131" i="48" s="1"/>
  <c r="F130" i="48"/>
  <c r="F129" i="48"/>
  <c r="F128" i="48"/>
  <c r="F127" i="48"/>
  <c r="F126" i="48"/>
  <c r="F125" i="48"/>
  <c r="F124" i="48"/>
  <c r="F122" i="48"/>
  <c r="F121" i="48"/>
  <c r="F120" i="48"/>
  <c r="C119" i="48"/>
  <c r="F119" i="48" s="1"/>
  <c r="F118" i="48"/>
  <c r="F117" i="48"/>
  <c r="F116" i="48"/>
  <c r="F115" i="48"/>
  <c r="F114" i="48"/>
  <c r="F113" i="48"/>
  <c r="F112" i="48"/>
  <c r="F111" i="48"/>
  <c r="F110" i="48"/>
  <c r="F109" i="48"/>
  <c r="F108" i="48"/>
  <c r="F107" i="48"/>
  <c r="F106" i="48"/>
  <c r="F105" i="48"/>
  <c r="F104" i="48"/>
  <c r="F103" i="48"/>
  <c r="F102" i="48"/>
  <c r="F101" i="48"/>
  <c r="F100" i="48"/>
  <c r="F99" i="48"/>
  <c r="D98" i="48"/>
  <c r="F97" i="48"/>
  <c r="F96" i="48"/>
  <c r="D95" i="48"/>
  <c r="F95" i="48" s="1"/>
  <c r="D94" i="48"/>
  <c r="F94" i="48" s="1"/>
  <c r="F93" i="48"/>
  <c r="C92" i="48"/>
  <c r="C91" i="48" s="1"/>
  <c r="E91" i="48"/>
  <c r="E154" i="48" s="1"/>
  <c r="D90" i="48"/>
  <c r="F90" i="48" s="1"/>
  <c r="F89" i="48"/>
  <c r="F88" i="48"/>
  <c r="F87" i="48"/>
  <c r="D86" i="48"/>
  <c r="F86" i="48" s="1"/>
  <c r="F85" i="48"/>
  <c r="F84" i="48"/>
  <c r="F83" i="48"/>
  <c r="F82" i="48"/>
  <c r="F81" i="48"/>
  <c r="F80" i="48"/>
  <c r="C79" i="48"/>
  <c r="F79" i="48" s="1"/>
  <c r="F78" i="48"/>
  <c r="D77" i="48"/>
  <c r="F77" i="48" s="1"/>
  <c r="F76" i="48"/>
  <c r="D75" i="48"/>
  <c r="F75" i="48" s="1"/>
  <c r="D74" i="48"/>
  <c r="F74" i="48" s="1"/>
  <c r="D73" i="48"/>
  <c r="F73" i="48" s="1"/>
  <c r="D72" i="48"/>
  <c r="F72" i="48" s="1"/>
  <c r="F71" i="48"/>
  <c r="F70" i="48"/>
  <c r="F69" i="48"/>
  <c r="D68" i="48"/>
  <c r="F68" i="48" s="1"/>
  <c r="F67" i="48"/>
  <c r="D65" i="48"/>
  <c r="F65" i="48" s="1"/>
  <c r="F64" i="48"/>
  <c r="F63" i="48"/>
  <c r="F62" i="48"/>
  <c r="F61" i="48"/>
  <c r="F60" i="48"/>
  <c r="F59" i="48"/>
  <c r="F58" i="48"/>
  <c r="F57" i="48"/>
  <c r="C56" i="48"/>
  <c r="D55" i="48"/>
  <c r="F55" i="48" s="1"/>
  <c r="D54" i="48"/>
  <c r="F54" i="48" s="1"/>
  <c r="F53" i="48"/>
  <c r="D52" i="48"/>
  <c r="F52" i="48" s="1"/>
  <c r="F51" i="48"/>
  <c r="F50" i="48"/>
  <c r="F49" i="48"/>
  <c r="F48" i="48"/>
  <c r="F46" i="48"/>
  <c r="F45" i="48"/>
  <c r="F44" i="48"/>
  <c r="F43" i="48"/>
  <c r="F42" i="48"/>
  <c r="F41" i="48"/>
  <c r="F40" i="48"/>
  <c r="F39" i="48"/>
  <c r="F38" i="48"/>
  <c r="F37" i="48"/>
  <c r="F36" i="48"/>
  <c r="F35" i="48"/>
  <c r="C34" i="48"/>
  <c r="F34" i="48" s="1"/>
  <c r="F33" i="48"/>
  <c r="D32" i="48"/>
  <c r="F30" i="48"/>
  <c r="F29" i="48"/>
  <c r="D28" i="48"/>
  <c r="C28" i="48"/>
  <c r="F27" i="48"/>
  <c r="C26" i="48"/>
  <c r="F26" i="48" s="1"/>
  <c r="C25" i="48"/>
  <c r="F25" i="48" s="1"/>
  <c r="C24" i="48"/>
  <c r="F23" i="48"/>
  <c r="F21" i="48"/>
  <c r="D21" i="48"/>
  <c r="F20" i="48"/>
  <c r="F19" i="48"/>
  <c r="F13" i="48"/>
  <c r="F12" i="48"/>
  <c r="F11" i="48"/>
  <c r="D10" i="48"/>
  <c r="F10" i="48" s="1"/>
  <c r="F8" i="48"/>
  <c r="D91" i="45"/>
  <c r="D166" i="45"/>
  <c r="C114" i="45"/>
  <c r="C7" i="45"/>
  <c r="C19" i="45"/>
  <c r="F92" i="48" l="1"/>
  <c r="E171" i="48"/>
  <c r="D31" i="48"/>
  <c r="C31" i="48"/>
  <c r="D147" i="48"/>
  <c r="F24" i="48"/>
  <c r="F22" i="48" s="1"/>
  <c r="C22" i="48"/>
  <c r="C7" i="48" s="1"/>
  <c r="F56" i="48"/>
  <c r="C123" i="48"/>
  <c r="D123" i="48"/>
  <c r="F47" i="48"/>
  <c r="C66" i="48"/>
  <c r="D91" i="48"/>
  <c r="F134" i="48"/>
  <c r="F123" i="48" s="1"/>
  <c r="D15" i="48"/>
  <c r="F170" i="48"/>
  <c r="F28" i="48"/>
  <c r="F98" i="48"/>
  <c r="E15" i="48"/>
  <c r="F66" i="48"/>
  <c r="F91" i="48"/>
  <c r="F147" i="48"/>
  <c r="D66" i="48"/>
  <c r="C98" i="48"/>
  <c r="C154" i="48" s="1"/>
  <c r="C171" i="48" s="1"/>
  <c r="F32" i="48"/>
  <c r="D56" i="48"/>
  <c r="F9" i="48"/>
  <c r="D9" i="45"/>
  <c r="F31" i="48" l="1"/>
  <c r="F154" i="48" s="1"/>
  <c r="F171" i="48" s="1"/>
  <c r="D154" i="48"/>
  <c r="D171" i="48" s="1"/>
  <c r="F44" i="45"/>
  <c r="C94" i="45"/>
  <c r="F88" i="45"/>
  <c r="F125" i="45"/>
  <c r="C93" i="45"/>
  <c r="F147" i="45"/>
  <c r="C33" i="45"/>
  <c r="C27" i="45"/>
  <c r="F27" i="45" s="1"/>
  <c r="C28" i="45"/>
  <c r="F11" i="45"/>
  <c r="C132" i="45"/>
  <c r="F132" i="45" s="1"/>
  <c r="C34" i="45"/>
  <c r="D84" i="45"/>
  <c r="F84" i="45" s="1"/>
  <c r="F83" i="45"/>
  <c r="E171" i="45"/>
  <c r="C171" i="45"/>
  <c r="F170" i="45"/>
  <c r="F169" i="45"/>
  <c r="F168" i="45"/>
  <c r="F167" i="45"/>
  <c r="F166" i="45"/>
  <c r="F165" i="45"/>
  <c r="F164" i="45"/>
  <c r="F163" i="45"/>
  <c r="F162" i="45"/>
  <c r="F161" i="45"/>
  <c r="F160" i="45"/>
  <c r="F159" i="45"/>
  <c r="F158" i="45"/>
  <c r="F157" i="45"/>
  <c r="D154" i="45"/>
  <c r="F154" i="45" s="1"/>
  <c r="D153" i="45"/>
  <c r="F153" i="45" s="1"/>
  <c r="F152" i="45"/>
  <c r="D151" i="45"/>
  <c r="F151" i="45" s="1"/>
  <c r="F150" i="45"/>
  <c r="F149" i="45"/>
  <c r="C148" i="45"/>
  <c r="F146" i="45"/>
  <c r="D145" i="45"/>
  <c r="C144" i="45"/>
  <c r="F144" i="45" s="1"/>
  <c r="C143" i="45"/>
  <c r="F143" i="45" s="1"/>
  <c r="F142" i="45"/>
  <c r="C141" i="45"/>
  <c r="F141" i="45" s="1"/>
  <c r="C140" i="45"/>
  <c r="F140" i="45" s="1"/>
  <c r="C139" i="45"/>
  <c r="F139" i="45" s="1"/>
  <c r="D138" i="45"/>
  <c r="C138" i="45"/>
  <c r="C137" i="45"/>
  <c r="F137" i="45" s="1"/>
  <c r="D136" i="45"/>
  <c r="C136" i="45"/>
  <c r="D135" i="45"/>
  <c r="C135" i="45"/>
  <c r="F134" i="45"/>
  <c r="F133" i="45"/>
  <c r="F131" i="45"/>
  <c r="F130" i="45"/>
  <c r="F129" i="45"/>
  <c r="F128" i="45"/>
  <c r="F127" i="45"/>
  <c r="C126" i="45"/>
  <c r="F126" i="45" s="1"/>
  <c r="C123" i="45"/>
  <c r="F123" i="45" s="1"/>
  <c r="F122" i="45"/>
  <c r="C121" i="45"/>
  <c r="F121" i="45" s="1"/>
  <c r="C120" i="45"/>
  <c r="F120" i="45" s="1"/>
  <c r="C119" i="45"/>
  <c r="F119" i="45" s="1"/>
  <c r="F118" i="45"/>
  <c r="F117" i="45"/>
  <c r="F116" i="45"/>
  <c r="C115" i="45"/>
  <c r="F115" i="45" s="1"/>
  <c r="F114" i="45"/>
  <c r="F113" i="45"/>
  <c r="F112" i="45"/>
  <c r="F111" i="45"/>
  <c r="F110" i="45"/>
  <c r="F109" i="45"/>
  <c r="F108" i="45"/>
  <c r="F107" i="45"/>
  <c r="F106" i="45"/>
  <c r="F105" i="45"/>
  <c r="F104" i="45"/>
  <c r="C103" i="45"/>
  <c r="C99" i="45" s="1"/>
  <c r="F102" i="45"/>
  <c r="F101" i="45"/>
  <c r="F100" i="45"/>
  <c r="D99" i="45"/>
  <c r="F98" i="45"/>
  <c r="F97" i="45"/>
  <c r="D96" i="45"/>
  <c r="C96" i="45"/>
  <c r="D95" i="45"/>
  <c r="F93" i="45"/>
  <c r="E92" i="45"/>
  <c r="F91" i="45"/>
  <c r="F90" i="45"/>
  <c r="F89" i="45"/>
  <c r="D87" i="45"/>
  <c r="F87" i="45" s="1"/>
  <c r="F86" i="45"/>
  <c r="F85" i="45"/>
  <c r="F82" i="45"/>
  <c r="F81" i="45"/>
  <c r="C80" i="45"/>
  <c r="F80" i="45" s="1"/>
  <c r="F79" i="45"/>
  <c r="D78" i="45"/>
  <c r="F78" i="45" s="1"/>
  <c r="F77" i="45"/>
  <c r="D76" i="45"/>
  <c r="F76" i="45" s="1"/>
  <c r="D75" i="45"/>
  <c r="F75" i="45" s="1"/>
  <c r="D74" i="45"/>
  <c r="D73" i="45"/>
  <c r="F73" i="45" s="1"/>
  <c r="F72" i="45"/>
  <c r="F71" i="45"/>
  <c r="F70" i="45"/>
  <c r="D69" i="45"/>
  <c r="F69" i="45" s="1"/>
  <c r="F68" i="45"/>
  <c r="D66" i="45"/>
  <c r="F66" i="45" s="1"/>
  <c r="F65" i="45"/>
  <c r="F64" i="45"/>
  <c r="F63" i="45"/>
  <c r="F62" i="45"/>
  <c r="F61" i="45"/>
  <c r="F60" i="45"/>
  <c r="F59" i="45"/>
  <c r="F58" i="45"/>
  <c r="C57" i="45"/>
  <c r="D56" i="45"/>
  <c r="F56" i="45" s="1"/>
  <c r="D55" i="45"/>
  <c r="F55" i="45" s="1"/>
  <c r="F54" i="45"/>
  <c r="D53" i="45"/>
  <c r="F53" i="45" s="1"/>
  <c r="F52" i="45"/>
  <c r="C51" i="45"/>
  <c r="F51" i="45" s="1"/>
  <c r="C50" i="45"/>
  <c r="F50" i="45" s="1"/>
  <c r="C49" i="45"/>
  <c r="F49" i="45" s="1"/>
  <c r="C48" i="45"/>
  <c r="F48" i="45" s="1"/>
  <c r="C47" i="45"/>
  <c r="F47" i="45" s="1"/>
  <c r="F46" i="45"/>
  <c r="F45" i="45"/>
  <c r="F43" i="45"/>
  <c r="D42" i="45"/>
  <c r="F41" i="45"/>
  <c r="F40" i="45"/>
  <c r="F39" i="45"/>
  <c r="F38" i="45"/>
  <c r="F37" i="45"/>
  <c r="F36" i="45"/>
  <c r="C35" i="45"/>
  <c r="F35" i="45" s="1"/>
  <c r="D33" i="45"/>
  <c r="F31" i="45"/>
  <c r="F30" i="45"/>
  <c r="D29" i="45"/>
  <c r="C29" i="45"/>
  <c r="C26" i="45"/>
  <c r="F26" i="45" s="1"/>
  <c r="C25" i="45"/>
  <c r="F25" i="45" s="1"/>
  <c r="F24" i="45"/>
  <c r="F23" i="45"/>
  <c r="D22" i="45"/>
  <c r="F21" i="45"/>
  <c r="D21" i="45"/>
  <c r="C20" i="45"/>
  <c r="F20" i="45" s="1"/>
  <c r="D19" i="45"/>
  <c r="E15" i="45"/>
  <c r="F14" i="45"/>
  <c r="F13" i="45"/>
  <c r="F12" i="45"/>
  <c r="D10" i="45"/>
  <c r="F10" i="45" s="1"/>
  <c r="C8" i="45"/>
  <c r="F8" i="45" s="1"/>
  <c r="F7" i="45"/>
  <c r="F29" i="45" l="1"/>
  <c r="F138" i="45"/>
  <c r="F7" i="48"/>
  <c r="F15" i="48" s="1"/>
  <c r="C15" i="48"/>
  <c r="F103" i="45"/>
  <c r="F96" i="45"/>
  <c r="D15" i="45"/>
  <c r="F19" i="45"/>
  <c r="F135" i="45"/>
  <c r="D92" i="45"/>
  <c r="E155" i="45"/>
  <c r="E172" i="45" s="1"/>
  <c r="D32" i="45"/>
  <c r="F74" i="45"/>
  <c r="F67" i="45" s="1"/>
  <c r="F136" i="45"/>
  <c r="F57" i="45"/>
  <c r="F28" i="45"/>
  <c r="C15" i="45"/>
  <c r="F42" i="45"/>
  <c r="F95" i="45"/>
  <c r="D171" i="45"/>
  <c r="F33" i="45"/>
  <c r="C92" i="45"/>
  <c r="D124" i="45"/>
  <c r="F145" i="45"/>
  <c r="F148" i="45"/>
  <c r="F94" i="45"/>
  <c r="C67" i="45"/>
  <c r="F34" i="45"/>
  <c r="C124" i="45"/>
  <c r="C32" i="45"/>
  <c r="D67" i="45"/>
  <c r="F99" i="45"/>
  <c r="F156" i="45"/>
  <c r="F171" i="45" s="1"/>
  <c r="D148" i="45"/>
  <c r="C22" i="45"/>
  <c r="F22" i="45" s="1"/>
  <c r="D57" i="45"/>
  <c r="F9" i="45"/>
  <c r="F15" i="45" s="1"/>
  <c r="F124" i="45" l="1"/>
  <c r="F92" i="45"/>
  <c r="D155" i="45"/>
  <c r="D172" i="45" s="1"/>
  <c r="F32" i="45"/>
  <c r="C155" i="45"/>
  <c r="C172" i="45" s="1"/>
  <c r="F155" i="45" l="1"/>
  <c r="F172" i="45" s="1"/>
</calcChain>
</file>

<file path=xl/comments1.xml><?xml version="1.0" encoding="utf-8"?>
<comments xmlns="http://schemas.openxmlformats.org/spreadsheetml/2006/main">
  <authors>
    <author>tamas.vladislava</author>
  </authors>
  <commentList>
    <comment ref="D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10.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 Анекс 2 укупно 31.770
лекови 10.916
санитетски 4.714
енергенти 2.723
ОМТ 13.417</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11.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 Анекс 2 укупно 31.770
лекови 10.916
санитетски 4.714
енергенти 2.723
ОМТ 13.417</t>
        </r>
      </text>
    </comment>
    <comment ref="E99"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12.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 Анекс 2 укупно 31.770
лекови 10.916
санитетски 4.714
енергенти 2.723
ОМТ 13.417</t>
        </r>
      </text>
    </comment>
    <comment ref="E99"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2.xml><?xml version="1.0" encoding="utf-8"?>
<comments xmlns="http://schemas.openxmlformats.org/spreadsheetml/2006/main">
  <authors>
    <author>tamas.vladislava</author>
  </authors>
  <commentList>
    <comment ref="D97"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3.xml><?xml version="1.0" encoding="utf-8"?>
<comments xmlns="http://schemas.openxmlformats.org/spreadsheetml/2006/main">
  <authors>
    <author>tamas.vladislava</author>
  </authors>
  <commentList>
    <comment ref="D97"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4.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5.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6.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7.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8.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comments9.xml><?xml version="1.0" encoding="utf-8"?>
<comments xmlns="http://schemas.openxmlformats.org/spreadsheetml/2006/main">
  <authors>
    <author>tamas.vladislava</author>
  </authors>
  <commentList>
    <comment ref="C7" authorId="0">
      <text>
        <r>
          <rPr>
            <b/>
            <sz val="9"/>
            <color indexed="81"/>
            <rFont val="Tahoma"/>
            <family val="2"/>
            <charset val="238"/>
          </rPr>
          <t>tamas.vladislava:</t>
        </r>
        <r>
          <rPr>
            <sz val="9"/>
            <color indexed="81"/>
            <rFont val="Tahoma"/>
            <family val="2"/>
            <charset val="238"/>
          </rPr>
          <t xml:space="preserve">
Дуг по коначном обрачуну 19.719.000-омт 3.162.000, санитетски 13.592.000, енергенти 2.965.000</t>
        </r>
      </text>
    </comment>
    <comment ref="E98" authorId="0">
      <text>
        <r>
          <rPr>
            <b/>
            <sz val="9"/>
            <color indexed="81"/>
            <rFont val="Tahoma"/>
            <family val="2"/>
            <charset val="238"/>
          </rPr>
          <t>tamas.vladis</t>
        </r>
        <r>
          <rPr>
            <sz val="9"/>
            <color indexed="81"/>
            <rFont val="Tahoma"/>
            <family val="2"/>
            <charset val="238"/>
          </rPr>
          <t xml:space="preserve"> Remondis 2.450.000
</t>
        </r>
      </text>
    </comment>
  </commentList>
</comments>
</file>

<file path=xl/sharedStrings.xml><?xml version="1.0" encoding="utf-8"?>
<sst xmlns="http://schemas.openxmlformats.org/spreadsheetml/2006/main" count="6099" uniqueCount="227">
  <si>
    <t>ДОМ ЗДРАВЉА "НОВИ САД" НОВИ САД</t>
  </si>
  <si>
    <t>у 000 динара</t>
  </si>
  <si>
    <t>ПРИХОДИ И ПРИМАЊА</t>
  </si>
  <si>
    <t>РФЗО</t>
  </si>
  <si>
    <t>СОПСТВЕНИ ПРИХОД</t>
  </si>
  <si>
    <t>УКУПНО</t>
  </si>
  <si>
    <t>Извори финансирања</t>
  </si>
  <si>
    <t>01</t>
  </si>
  <si>
    <t>04</t>
  </si>
  <si>
    <t>781 100 Приход од матичног завода</t>
  </si>
  <si>
    <t>781 100 Приход од партиципације</t>
  </si>
  <si>
    <t>742 100 Приход оств.од вршења услуга на тржишту</t>
  </si>
  <si>
    <t>733+791 Приход од пројекатa</t>
  </si>
  <si>
    <t xml:space="preserve">121 100 Средства на жиро-рачуну </t>
  </si>
  <si>
    <t>I УКУПНИ ПРИХОДИ И ПРИМАЊА</t>
  </si>
  <si>
    <t>РАСХОДИ И ИЗДАЦИ</t>
  </si>
  <si>
    <t>411+412 Бруто плате радника</t>
  </si>
  <si>
    <t>413+415 Превоз са посла и на посао</t>
  </si>
  <si>
    <t>413 142 Новогодишњи пакетићи за децу</t>
  </si>
  <si>
    <t>414         Социјална давања запосленима</t>
  </si>
  <si>
    <t>414 211 Расходи за образовање деце запосл.</t>
  </si>
  <si>
    <t>414 310 Отпремнина приликом одл. у пенз.</t>
  </si>
  <si>
    <t>414 314 Помоћ у случ. смрти запосл.</t>
  </si>
  <si>
    <t>414 411 Помоћ мед. леч. запослених</t>
  </si>
  <si>
    <t>416        Награде запосленима и остали пос.рас.</t>
  </si>
  <si>
    <t>416 111 Јубиларне награде</t>
  </si>
  <si>
    <t>421        Стални трошкови</t>
  </si>
  <si>
    <t>421 100 Трошкови платног промета и банкарских услуга</t>
  </si>
  <si>
    <t xml:space="preserve">421 211 Услуге за електричну енергију </t>
  </si>
  <si>
    <t>421 221 Природни гас</t>
  </si>
  <si>
    <t>421 223 Пелет за огрев</t>
  </si>
  <si>
    <t>421 225 Централно грејање</t>
  </si>
  <si>
    <t>421 311 Услуге водовода и канализације</t>
  </si>
  <si>
    <t>421 321 Дератизација</t>
  </si>
  <si>
    <t>421 322 Димничарске услуге</t>
  </si>
  <si>
    <t xml:space="preserve">421 324 Одвоз отпада -  ЧИСТОЋА </t>
  </si>
  <si>
    <t>421 325 Услуге чишћења објекта</t>
  </si>
  <si>
    <t>421 411 Телефон,телекс и телефакс</t>
  </si>
  <si>
    <t xml:space="preserve">421 412 Интернет и слично </t>
  </si>
  <si>
    <t>421 414 Услуге мобилног телефона</t>
  </si>
  <si>
    <t>421 419 Остале услуге комуникација</t>
  </si>
  <si>
    <t>421 420 Поштанске услуге</t>
  </si>
  <si>
    <t>421 511 Осигурање зграда</t>
  </si>
  <si>
    <t>421 512 Осигурање возила (каско)</t>
  </si>
  <si>
    <t>421 513 Осигурање опреме</t>
  </si>
  <si>
    <t>421 521 Осигурање запосл. у  случ. несреће</t>
  </si>
  <si>
    <t>421 523 Осиг.од одгов.према трећим лицима</t>
  </si>
  <si>
    <t>421 622 Закуп информатичке опреме</t>
  </si>
  <si>
    <t>421 624 Закуп опреме за очување животне средине</t>
  </si>
  <si>
    <t>421 919 Остали непоменути трошкови</t>
  </si>
  <si>
    <t>422        Трошкови путовања</t>
  </si>
  <si>
    <t>422 111 Трошкови дневница на сл. путу</t>
  </si>
  <si>
    <t>422 121 Трошкови прев. на сл. путу у земљи</t>
  </si>
  <si>
    <t>422 131 Трошкови смештаја на служ. путу</t>
  </si>
  <si>
    <t>422 199 Остали трошкови за посл.пут.у земљи</t>
  </si>
  <si>
    <t>422 211 Трошкови дневница на сл. путу у иностранству</t>
  </si>
  <si>
    <t>422 221 Трошкови превоза за сл.пут у иност.</t>
  </si>
  <si>
    <t xml:space="preserve">422 231 Трошкови смештаја на сл.путу у иност. </t>
  </si>
  <si>
    <t>422 299 Остали трошкови за посл.пут у инос.</t>
  </si>
  <si>
    <t>422 911 Трошкови селидбе и превоза</t>
  </si>
  <si>
    <t>423        Услуге по уговору</t>
  </si>
  <si>
    <t>423 191 Остале административне услуге</t>
  </si>
  <si>
    <t>423 211 Услуге за израду софтвера</t>
  </si>
  <si>
    <t>423 212 Услуге за одржавање софтвера</t>
  </si>
  <si>
    <t>423 221 Одржавање рачунара (пуњења тонера)</t>
  </si>
  <si>
    <t>423 291 Остале комјут.услуге</t>
  </si>
  <si>
    <t>423 311 Услуге образ. и усаврш. запосл.</t>
  </si>
  <si>
    <t>423 320 Котизација за стручна саветовања</t>
  </si>
  <si>
    <t>423 411 Услуге штампања билтена</t>
  </si>
  <si>
    <t>423 413 Услуге штампања публикација</t>
  </si>
  <si>
    <t>423 419 Остале услуге штампања</t>
  </si>
  <si>
    <t>423 421 Услуге информисања јавности огласи</t>
  </si>
  <si>
    <t>423 432 Објављивање тендера и информатив.</t>
  </si>
  <si>
    <t>423 449 Остале медијске услуге</t>
  </si>
  <si>
    <t>423 521 Правно заступ. пред дом. судовима</t>
  </si>
  <si>
    <t>423 531 Услуге вештачења</t>
  </si>
  <si>
    <t>423 539 Остале правне услуге</t>
  </si>
  <si>
    <t>423 542 Остале финансијске услуге</t>
  </si>
  <si>
    <t>423 591 Накнада чл.управних и надзорних одбора</t>
  </si>
  <si>
    <t>423 599 Остале стручне услуге</t>
  </si>
  <si>
    <t>423 611 Прање веша</t>
  </si>
  <si>
    <t>423 711 Репрезентација</t>
  </si>
  <si>
    <t>423 712 Поклони</t>
  </si>
  <si>
    <t>423 911 Остале опште услуге</t>
  </si>
  <si>
    <t>424        Специјализоване услуге</t>
  </si>
  <si>
    <t xml:space="preserve">424 311 Здравст. заш. по уговору </t>
  </si>
  <si>
    <t>424 331 Услуге јавног здравства-анализе</t>
  </si>
  <si>
    <t>424 351 Остале медицинске услуге</t>
  </si>
  <si>
    <t>424 631 Геодетске услуге</t>
  </si>
  <si>
    <t>424 911 Остале специјализоване услуге</t>
  </si>
  <si>
    <t>425        Текуће поправке и одржавање</t>
  </si>
  <si>
    <t>425 111 Зидарски радови</t>
  </si>
  <si>
    <t>425 112 Столарски радови</t>
  </si>
  <si>
    <t>425 114 Радови на крову</t>
  </si>
  <si>
    <t>425 115 Радови на водоводу и канализацији</t>
  </si>
  <si>
    <t>425 116 Централно грејање</t>
  </si>
  <si>
    <t>425 117 Електричне инсталације</t>
  </si>
  <si>
    <t>425 119 Текуће поправке и одрж.објеката</t>
  </si>
  <si>
    <t>425 191 Текуће поправке и одржавање осталих објеката</t>
  </si>
  <si>
    <t>425 210 Текуће поправке и одржавање возила</t>
  </si>
  <si>
    <t>425 219 Остале поправке и одрж.возила</t>
  </si>
  <si>
    <t>425 221 Поправке и одрж.намештаја</t>
  </si>
  <si>
    <t>425 222 Одржавање рачунарске опреме</t>
  </si>
  <si>
    <t>425 223 Одржавање опреме за комуникацију</t>
  </si>
  <si>
    <t>425 224 Електронска и фотографска опрема</t>
  </si>
  <si>
    <t>425 225 Одржавање опреме за домаћинство</t>
  </si>
  <si>
    <t>425 227 Уградна опрема  климе - одржавање</t>
  </si>
  <si>
    <t>425 251 Текуће поправке и одрж. мед. опреме+РТГ</t>
  </si>
  <si>
    <t>425 252 Текуће попр. и одржавање лабораторијске опреме</t>
  </si>
  <si>
    <t>425 253 Текуће попр. и одрж. мер. и кон. инструмената</t>
  </si>
  <si>
    <t>425 281 Текуће попр. и одрж. опр. за јав.безбед.</t>
  </si>
  <si>
    <t>425 291 Текуће попр. и одрж. произ. мот. опреме</t>
  </si>
  <si>
    <t>426        Материјал</t>
  </si>
  <si>
    <t>426 111 Канцеларијски материјал</t>
  </si>
  <si>
    <t>426 121 Расх. за рад.униформе - одећа и обућа</t>
  </si>
  <si>
    <t xml:space="preserve">426 124 ХТЗ опрема </t>
  </si>
  <si>
    <t>426 131 Цвеће и зеленило</t>
  </si>
  <si>
    <t>426 191 Остали административни материјал</t>
  </si>
  <si>
    <t>426 311 Стручна литер. за редовне потребе запосл.</t>
  </si>
  <si>
    <t>426 410 Бензин, дизел гориво, гас, уља и мазива</t>
  </si>
  <si>
    <t>426 591 Мат. за очување живо. сред. (мед.отпад, кесе, канте)</t>
  </si>
  <si>
    <t>426 711 Материјали за мед. тестове и стомат.материјал</t>
  </si>
  <si>
    <t>426 721 Материјал за лабораторијске тестове</t>
  </si>
  <si>
    <t>426 791 Остали мед.мат. који се  не евидент. у ел.факт.</t>
  </si>
  <si>
    <t>426 811 Хемијска средства  за чишћење</t>
  </si>
  <si>
    <t>426 812 Инвентар за одржавање хигијене</t>
  </si>
  <si>
    <t>426 911 Потрошни материјал</t>
  </si>
  <si>
    <t>426 912 Резервни делови</t>
  </si>
  <si>
    <t>426 913 Алат и инвентар</t>
  </si>
  <si>
    <t>426 919 Остали материјал за посебне намене</t>
  </si>
  <si>
    <t>444 211 Казне за кашњење</t>
  </si>
  <si>
    <t>482 131 Регистрација и осигурање возила</t>
  </si>
  <si>
    <t>482 191 Остали порези</t>
  </si>
  <si>
    <t>482 200  Обавезне таксе (републичке, градске)</t>
  </si>
  <si>
    <t>482 300 Казне (републичке,градске,судске)</t>
  </si>
  <si>
    <t>485 Накнада штете за неискоришћени годишњи одмор</t>
  </si>
  <si>
    <t>УКУПНИ РАСХОДИ - КЛАСА  4</t>
  </si>
  <si>
    <t>511 411 Пројектно планирање и праћење</t>
  </si>
  <si>
    <t>511 441 Стручни надзор над извођењем радова</t>
  </si>
  <si>
    <t>512111 Возила</t>
  </si>
  <si>
    <t xml:space="preserve">512 211 Намештај </t>
  </si>
  <si>
    <t>512 220 Рачунарска опрема</t>
  </si>
  <si>
    <t>512 241 Електронска опрема</t>
  </si>
  <si>
    <t>512 251 Опрема за домаћинство</t>
  </si>
  <si>
    <t xml:space="preserve">512 511 Медицинска опрема </t>
  </si>
  <si>
    <t>512 521 Лабораторијска опрема</t>
  </si>
  <si>
    <t>513 111 Остала опрема</t>
  </si>
  <si>
    <t>ИЗДАЦИ. ЗА НАБ. ОСН.СРЕД.- КЛ. 5</t>
  </si>
  <si>
    <t>II  УКУПНИ РАСХОДИ И ИЗДАЦИ  КЛ.4+5</t>
  </si>
  <si>
    <t>425 113 Молерски радови</t>
  </si>
  <si>
    <t>483 Новчане казне по решењу судова</t>
  </si>
  <si>
    <t xml:space="preserve">482 Порези, обавезне таксе </t>
  </si>
  <si>
    <t>430 Амортизација</t>
  </si>
  <si>
    <t>421 619 Закуп осталог простора</t>
  </si>
  <si>
    <t>Извор финансирања</t>
  </si>
  <si>
    <t>01,04</t>
  </si>
  <si>
    <t>511 431 Идејни пројекат</t>
  </si>
  <si>
    <t>424 341 Лабораторијске услуге</t>
  </si>
  <si>
    <t>426 751 Ампулирани лекови</t>
  </si>
  <si>
    <t>02,04</t>
  </si>
  <si>
    <t>425 118 Радови на комуникацијским инсталацијама</t>
  </si>
  <si>
    <t>425 220 Текуће поправке и одржавање административне опреме</t>
  </si>
  <si>
    <t>426 122 Службена одећа</t>
  </si>
  <si>
    <t>426 491 Остали мате. за превозна сред.(резервни делови, гуме)</t>
  </si>
  <si>
    <t>426 819 Остали материјал за одржавање хигијене</t>
  </si>
  <si>
    <t>423 111 Услуге превођења</t>
  </si>
  <si>
    <t>511 322 Капитално одржавање здравствених објеката</t>
  </si>
  <si>
    <t xml:space="preserve">414 419 Остале помоћи запосленима </t>
  </si>
  <si>
    <t>512 531 Мерни и контролни инструменти</t>
  </si>
  <si>
    <t>741+744+745+771+772+812 Остали приходи</t>
  </si>
  <si>
    <t>733 100 +791 100 Приход за набавку ОС, материјала и тек.одрж.</t>
  </si>
  <si>
    <t>733 100 +791 100 Приход за набавку ОС, метеријала и тек.одрж.</t>
  </si>
  <si>
    <t>311 712 Пренета неутрошена средства за посебне намене</t>
  </si>
  <si>
    <t>РФЗО,ГРАД, АПВ</t>
  </si>
  <si>
    <t>13</t>
  </si>
  <si>
    <t>511 451 Пројектна документација</t>
  </si>
  <si>
    <t>512 230 Комуникациона опрема</t>
  </si>
  <si>
    <t>414 121 Боловање преко 30 дана</t>
  </si>
  <si>
    <t xml:space="preserve">416 131 Награде запосленима и остали посебни расходи </t>
  </si>
  <si>
    <t>Одговорно лице</t>
  </si>
  <si>
    <t>_______________________________</t>
  </si>
  <si>
    <t>_________________________</t>
  </si>
  <si>
    <t>ПРЕДЛОГ ФИНАНСИЈСКОГ ПЛАНА ЗА 2022. ГОДИНУ</t>
  </si>
  <si>
    <t>Образложење: На основу  Одлуке о изменама Одлуке о предрачунима средстава даваоцима здравствених услуга за 2021. годину Републичког фонда за здравствено осигурање од 24.1.2021. године и усвојеног Закона о изменама и допунама Закона о буџетском систему ("Сл. гласник РС", бр. 54/2009, 73/2010, 101/2010, 101/2011, 93/2012, 62/2013, 63/2013 - ispr., 108/2013, 142/2014, 68/2015 - др. закон, 103/2015, 99/2016, 113/2017, 95/2018, 31/2019, 72/2019 ,149/2020 и 118/2021) сачињена је пројекција Предлога Финансијског плана за 2022. годину . Извор средства 13 је планиран на основу опредељених средства Дому здравља "Нови Сад" Нови Сад Одлуком Града Новог Сада.</t>
  </si>
  <si>
    <t>ПРВА ИЗМЕНА ФИНАНСИЈСКОГ ПЛАНА ЗА 2022. ГОДИНУ</t>
  </si>
  <si>
    <t>414 311 Отпремнина приликом одл. у пенз.</t>
  </si>
  <si>
    <t>ГРАД</t>
  </si>
  <si>
    <t>Образложење: На основу Одлуке о предрачунима средстава даваоцима здравствених услуга за 2022. годину Републичког фонда за здравствено осигурање 01/2 број: 450-4/22 донете 5.1.2022. године и Правилника о уговарању здравствене заштите из обавезног здравственог осигурања са даваоцима здравствених услуга за 2022. годину („Службени гласник РС“, број 133/21) сачињена је Прва измена Финансијског плана за 2022. годину . Дописом Републичког фонда за здравствено осигурање број 450-139/22 од 12.1.2022. године за исплату једнократне новчане помоћи запосленима у износу од 10.000,00 динара са припадајућим порезом, конто 414 419 Остале помоћи запосленима је увећан за 17.774.000,00 динара, као и конто прихода од матичног завода.  Извор средства 13 је планиран је на основу опредељених средства Дому здравља "Нови Сад" Нови Сад Одлуком Града Новог Сада.</t>
  </si>
  <si>
    <t>01,04,13</t>
  </si>
  <si>
    <t>ДРУГА ИЗМЕНА ФИНАНСИЈСКОГ ПЛАНА ЗА 2022. ГОДИНУ</t>
  </si>
  <si>
    <t>06</t>
  </si>
  <si>
    <t>РЕПУБЛИКА</t>
  </si>
  <si>
    <t>Образложење: На основу примљене субвенције Министарства финансија-Управе за трезор за набавку нових фискалних уређаја у износу од 728.872,00 динара сачињена је Друга измена Финансијског плана за 2022. годину увећањем конта 791 100 Приход за набавку ОС, материјала и тек.одрж.и 512 241 Електронска опрема, извор 06 Република. У извору средства 04 извршена је прерасподела по контима у складу са потребама Дома здравља "Нови Сад" Нови Сад.</t>
  </si>
  <si>
    <t>04,06</t>
  </si>
  <si>
    <t>ТРЕЋА ИЗМЕНА ФИНАНСИЈСКОГ ПЛАНА ЗА 2022. ГОДИНУ</t>
  </si>
  <si>
    <t>742 300 Приход оств.од вршења услуга на тржишту</t>
  </si>
  <si>
    <t>733+791 Приход из буџета и од пројекатa</t>
  </si>
  <si>
    <t>АПВ, РЕПУБЛИКА</t>
  </si>
  <si>
    <t>07</t>
  </si>
  <si>
    <t>02</t>
  </si>
  <si>
    <t>512 111 Возила</t>
  </si>
  <si>
    <t>Образложење: У трећој измени Финансијског плана Дома здравља "Нови Сад" Нови Сад након израде коначног обрачуна са Републичким фондом за здравствено осигурање извор 01 се коригује за износ дуга по коначном обрачуну. На основу Одлуке о буџету Града Новог Сада за 2022. годину (Сл. лист Града Новог Сада 56/21 и 7/22) уводи се извор финансирања 02 Град са пратећим трошковима за опремање здравственог објекта Булевар цара Лазара 77  у износу од 80.011.000,00 динара и на основу Уговора број XII-50-1/2022-45 са Градском управом за здравство о преносу средтсва за реализацију "ON-LINE школе родитељства" за 2022. годину у износу од 700.000,00 динара.  На основу Решења о додели средстава по јавном конкурсу за финансирање односно суфинансирање изградње, одржавања и опремаља здравствених установа у 2022. години број:138-401-856/2022-8 од Покрајинског секретаријата за здравство АП Војводине Дому здравља "Нови Сад" Нови Сад је додељено 4.000.000,00 динара за набавку два возила.У извору средства 04 извршена је прерасподела по контима прихода и расхода у складу са потребама Дома здравља "Нови Сад" Нови Сад.</t>
  </si>
  <si>
    <t>02,07</t>
  </si>
  <si>
    <t>01,07</t>
  </si>
  <si>
    <t>02,04,07</t>
  </si>
  <si>
    <t>ЧЕТВРТА ИЗМЕНА ФИНАНСИЈСКОГ ПЛАНА ЗА 2022. ГОДИНУ</t>
  </si>
  <si>
    <t>Образложење: У четвртој измени Финансијског плана Дома здравља "Нови Сад" Нови Сад у изворима 01 и 04 је извршена прерасподела средстава по контима прихода и расхода у складу са потребама Дома здравља "Нови Сад" Нови Сад, а на основу Финансијског извештаја за прво тромесечје 2022. године.</t>
  </si>
  <si>
    <t>ПЕТА ИЗМЕНА ФИНАНСИЈСКОГ ПЛАНА ЗА 2022. ГОДИНУ</t>
  </si>
  <si>
    <t>04,07</t>
  </si>
  <si>
    <t>Образложење:  На основу Уговора Министарства здравља број 404-02-000131-11/2020-19 за Услуге оверавања медицинских уређаја са функцијом мерења увећава се конто 424 911 Остале специјализоване услуге за 1.870.000,00 динара, извор финансирања 07, као и одговарајући конто прихода. У извору средстава 01 и 04 извршена је корекција између конта по наменама.</t>
  </si>
  <si>
    <t>ШЕСТА ИЗМЕНА ФИНАНСИЈСКОГ ПЛАНА ЗА 2022. ГОДИНУ</t>
  </si>
  <si>
    <t>01,04,07,13</t>
  </si>
  <si>
    <t xml:space="preserve">Образложење:  На основу Уговора о заједничком спровођењу програмских задатака између Покрајинског секретаријата за здравство АП Војводине и Института за јавно здравље Војводине у Шестој измени Финансијског плана Дома здравља "Нови Сад" Нови Сад  за 2022. годину увећава се извор 07 за реализацију програмских задатака у износу од 181.000,0 динара, као и одговарајући конто трошка. У изворима средстава 01 и 04 извршена је корекција конта трошкова, као  и корекција износа сопственог прихода по основу пројекције прихода и реалних потреба Дома здравља "Нови Сад" Нови Сад. </t>
  </si>
  <si>
    <t>СЕДМА ИЗМЕНА ФИНАНСИЈСКОГ ПЛАНА ЗА 2022. ГОДИНУ</t>
  </si>
  <si>
    <r>
      <t>Образложење:  У Седмој измени Финансијског плана за 2022. годину увећан је конто 781 100 Приход од матичног завода за јубиларне награде и остале помоћи запосленима у износу</t>
    </r>
    <r>
      <rPr>
        <sz val="12"/>
        <color rgb="FFFF0000"/>
        <rFont val="Calibri"/>
        <family val="2"/>
        <charset val="238"/>
        <scheme val="minor"/>
      </rPr>
      <t xml:space="preserve"> </t>
    </r>
    <r>
      <rPr>
        <sz val="12"/>
        <rFont val="Calibri"/>
        <family val="2"/>
        <charset val="238"/>
        <scheme val="minor"/>
      </rPr>
      <t>13.200.000,00 д</t>
    </r>
    <r>
      <rPr>
        <sz val="12"/>
        <color theme="1"/>
        <rFont val="Calibri"/>
        <family val="2"/>
        <charset val="238"/>
        <scheme val="minor"/>
      </rPr>
      <t>инара. На основу закључених уговора о реализацији пројеката из области јавног здравља, превенције ХИВ-а и дрога, и хроничних незаразних болести, одобрених од стране Градске управе за здравство Града Новог Сада, увећани су конто 733+791 Приход од пројекатa за 8.321.405,00 динара, као и конта расхода према плану пројеката за 2022. годину, и то: 411+412 Бруто плате радника у износу од 5.677.580,00 динара, 423 419 Остале услуге штампања у износу од 970.000,00 динара, 426 919 Остали материјал за посебне намене у износу 38.250,00 динара, 426 791 Остали мед.мат. који се  не евидент. у ел.факт. у износу од 63.750,00 динара,423 449 Остале медијске услуге у износу од 100.000,00 динара и  423 911 Остале опште услуге у износу од 1.471.825,00 динара.У оквиру извора 01 и 04 извршена је корекција износа на контима у складу са насталим обавезама и пројекцијом трошкова до краја године.</t>
    </r>
  </si>
  <si>
    <t>ОСМА ИЗМЕНА ФИНАНСИЈСКОГ ПЛАНА ЗА 2022. ГОДИНУ</t>
  </si>
  <si>
    <r>
      <t>Образложење:  На основу Решења о употреби средстава текуће буџетске резерве број 401-50/2022-II од 28.9.2022. године одобрених Градској управи за здравство Града Новог Сада на име обезбеђивања недовољно планираних средстава за реализацију Програма спровођења мера којима се стварају услови за бољу доступност и приступачност у коришћењу здравствене заштите становништва у погледу опреме и других средстава за рад у установама примарне здравствене заштите на територији Града Новог Сада за 2022. годину, а за намену израда пројекта ентеријера на здравственом објекту Видавданско насеље, у Осмој измени Финансијског плана за 2022. годину увећава се конто 733 100 +791 100 Приход за набавку ОС, материјала и тек.одрж. у износу</t>
    </r>
    <r>
      <rPr>
        <sz val="12"/>
        <rFont val="Calibri"/>
        <family val="2"/>
        <charset val="238"/>
        <scheme val="minor"/>
      </rPr>
      <t xml:space="preserve"> 4.000.000,00 д</t>
    </r>
    <r>
      <rPr>
        <sz val="12"/>
        <color theme="1"/>
        <rFont val="Calibri"/>
        <family val="2"/>
        <charset val="238"/>
        <scheme val="minor"/>
      </rPr>
      <t xml:space="preserve">инара, као и одговарајући конто расхода  511 431 Идејни пројекат. </t>
    </r>
  </si>
  <si>
    <t>ДЕВЕТА ИЗМЕНА ФИНАНСИЈСКОГ ПЛАНА ЗА 2022. ГОДИНУ</t>
  </si>
  <si>
    <t>ДЕСЕТА ИЗМЕНА ФИНАНСИЈСКОГ ПЛАНА ЗА 2022. ГОДИНУ</t>
  </si>
  <si>
    <t>08</t>
  </si>
  <si>
    <t>НИС</t>
  </si>
  <si>
    <t>744 200 Капитални добровољни транфери од физичких и правних лица</t>
  </si>
  <si>
    <t>Образложење: На основу Анекса број II  Уговора о пружању и финансирању здравствене заштите из обавезног здравственог осигурања за 2022. годину од 6.10.2022. године у дветој измени Финансијског плана за 2022. годину увећан је конто 781 100 Приход од матичног завода за 31.770.000,00 динара,  као и одговарајућа конта расхода. На основу Одлуке о изменама и допунама Одлуке о буџету Града Новог Сада за 2022. годину број 47/22 за реализацију Програма спровођења мера којима се стварају услови за бољу доступност и приступачност у коришћењу здравствене заштите становништва у погледу опреме и других средстава за рад у установама примарне здравствене заштите на територији Града Новог Сада за 2022. годину,увећан је конто 733 100 +791 100 Приход за набавку ОС, материјала и тек.одрж.у износу од 48.410.000,00 динара, извор 02 Град, за опремње објекта Видовданско насеље, као и одговарајућа конта расхода.У оквиру извора 04 извршена је корекција износа на контима у складу са насталим обавезама и пројекцијом трошкова до краја године.</t>
  </si>
  <si>
    <t>02,04,08</t>
  </si>
  <si>
    <t>Образложење:  У десетој измени Финансијског плана за 2022. годину на основу закључених уговора о реализацији пројеката из области пронаталитетне популационе политике, одобрених од стране Градске управе за здравство Града Новог Сада, увећани су конто 733+791 Приход од пројекатa за 3.449.373,32 динара, као и конта расхода према плану пројеката за 2022. годину, и то: 411+412 Бруто плате радника у износу од 1.307.826,00 динара, 426 919 Остали материјал за посебне намене у износу 38.250,00 динара, 426 791 Остали мед.мат. који се  не евидент. у ел.факт. у износу од 24.054,32 динара,423 449 Остале медијске услуге у износу од 225.000,00 динара и  423 911 Остале опште услуге у износу од 1.892.493,00 динара. На основу резултата конкурса "Заједници заједно 2022" објављених на сајту компаније НИС Дому здравља "Нови Сад" Нови Сад  су опредељена средства у износу од  14.748.000,00 динара за део програма који је посвећен теми репродуктивног здравља и повећању наталитета за набавку гинеколошке опреме, те су средства рапоређена на одговарајућа конта прихода и расхода. У оквиру извора 01 и 04 извршена је корекција износа на контима у складу са насталим обавезама и пројекцијом трошкова до краја године.</t>
  </si>
  <si>
    <t>ЈЕДАНАЕСТА ИЗМЕНА ФИНАНСИЈСКОГ ПЛАНА ЗА 2022. ГОДИНУ</t>
  </si>
  <si>
    <t>Образложење:  У Једанаестој измени Финансијског плана за 2022. годину увећан је конто 781 100 Приход од матичног завода за 1.000.000,00 динара за помоћ у медицинском лечењу запослених , а по основу захтева одобрених од стране Републичког фонда за здравствено осигурање, за намену лекови 8.000.000,00 динара због извршених директних плаћања од стране РФЗО-а према добављачима,и конто 781 100 Приход од партиципације увећан је за 8.379.000,00 на основу више фактурисане партиципације у односу на уговорену, као и одговарајућа конта расхода. У оквиру извора 01,02 и 04 извршена је корекција износа на контима у складу са насталим обавезама и пројекцијом трошкова до краја године.</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</si>
</sst>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38"/>
      <scheme val="minor"/>
    </font>
    <font>
      <sz val="11"/>
      <color theme="1"/>
      <name val="Calibri"/>
      <family val="2"/>
      <charset val="238"/>
      <scheme val="minor"/>
    </font>
    <font>
      <sz val="11"/>
      <color theme="1"/>
      <name val="Calibri"/>
      <family val="2"/>
      <charset val="204"/>
      <scheme val="minor"/>
    </font>
    <font>
      <sz val="11"/>
      <color theme="1"/>
      <name val="Calibri"/>
      <family val="2"/>
      <scheme val="minor"/>
    </font>
    <font>
      <b/>
      <sz val="12"/>
      <name val="Times New Roman"/>
      <family val="1"/>
      <charset val="238"/>
    </font>
    <font>
      <sz val="12"/>
      <name val="Times New Roman"/>
      <family val="1"/>
      <charset val="238"/>
    </font>
    <font>
      <sz val="11.5"/>
      <name val="Times New Roman"/>
      <family val="1"/>
      <charset val="238"/>
    </font>
    <font>
      <b/>
      <sz val="11.5"/>
      <name val="Times New Roman"/>
      <family val="1"/>
      <charset val="238"/>
    </font>
    <font>
      <sz val="11.5"/>
      <name val="Times New Roman"/>
      <family val="1"/>
    </font>
    <font>
      <b/>
      <sz val="11"/>
      <name val="Times New Roman"/>
      <family val="1"/>
      <charset val="238"/>
    </font>
    <font>
      <b/>
      <sz val="8"/>
      <name val="Times New Roman"/>
      <family val="1"/>
      <charset val="238"/>
    </font>
    <font>
      <sz val="11"/>
      <color theme="1"/>
      <name val="Times New Roman"/>
      <family val="1"/>
      <charset val="238"/>
    </font>
    <font>
      <b/>
      <sz val="11"/>
      <color theme="1"/>
      <name val="Times New Roman"/>
      <family val="1"/>
      <charset val="238"/>
    </font>
    <font>
      <sz val="9"/>
      <color indexed="81"/>
      <name val="Tahoma"/>
      <family val="2"/>
      <charset val="238"/>
    </font>
    <font>
      <b/>
      <sz val="9"/>
      <color indexed="81"/>
      <name val="Tahoma"/>
      <family val="2"/>
      <charset val="238"/>
    </font>
    <font>
      <sz val="11"/>
      <name val="Times New Roman"/>
      <family val="1"/>
      <charset val="238"/>
    </font>
    <font>
      <sz val="11"/>
      <color theme="1"/>
      <name val="Times New Roman"/>
      <family val="1"/>
      <charset val="204"/>
    </font>
    <font>
      <sz val="11"/>
      <color rgb="FFFF0000"/>
      <name val="Calibri"/>
      <family val="2"/>
      <charset val="238"/>
      <scheme val="minor"/>
    </font>
    <font>
      <sz val="11"/>
      <name val="Calibri"/>
      <family val="2"/>
      <charset val="238"/>
      <scheme val="minor"/>
    </font>
    <font>
      <sz val="12"/>
      <color theme="1"/>
      <name val="Calibri"/>
      <family val="2"/>
      <charset val="238"/>
      <scheme val="minor"/>
    </font>
    <font>
      <sz val="11.5"/>
      <color rgb="FFFF0000"/>
      <name val="Times New Roman"/>
      <family val="1"/>
      <charset val="238"/>
    </font>
    <font>
      <b/>
      <sz val="11.5"/>
      <color rgb="FFFF0000"/>
      <name val="Times New Roman"/>
      <family val="1"/>
      <charset val="238"/>
    </font>
    <font>
      <sz val="12"/>
      <color rgb="FFFF0000"/>
      <name val="Calibri"/>
      <family val="2"/>
      <charset val="238"/>
      <scheme val="minor"/>
    </font>
    <font>
      <sz val="12"/>
      <name val="Calibri"/>
      <family val="2"/>
      <charset val="238"/>
      <scheme val="minor"/>
    </font>
    <font>
      <sz val="11.5"/>
      <color theme="1"/>
      <name val="Times New Roman"/>
      <family val="1"/>
      <charset val="238"/>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xf numFmtId="0" fontId="3" fillId="0" borderId="0"/>
    <xf numFmtId="0" fontId="1" fillId="0" borderId="0"/>
    <xf numFmtId="9" fontId="1" fillId="0" borderId="0" applyFont="0" applyFill="0" applyBorder="0" applyAlignment="0" applyProtection="0"/>
  </cellStyleXfs>
  <cellXfs count="150">
    <xf numFmtId="0" fontId="0" fillId="0" borderId="0" xfId="0"/>
    <xf numFmtId="3" fontId="6" fillId="0" borderId="5" xfId="3" applyNumberFormat="1" applyFont="1" applyBorder="1"/>
    <xf numFmtId="3" fontId="6" fillId="0" borderId="3" xfId="3" applyNumberFormat="1" applyFont="1" applyBorder="1"/>
    <xf numFmtId="0" fontId="5" fillId="0" borderId="0" xfId="3" applyFont="1"/>
    <xf numFmtId="0" fontId="6" fillId="0" borderId="13" xfId="3" applyFont="1" applyBorder="1"/>
    <xf numFmtId="0" fontId="10" fillId="0" borderId="0" xfId="3" applyFont="1" applyAlignment="1">
      <alignment horizontal="right"/>
    </xf>
    <xf numFmtId="0" fontId="6" fillId="0" borderId="20" xfId="3" applyFont="1" applyBorder="1"/>
    <xf numFmtId="3" fontId="6" fillId="0" borderId="21" xfId="3" applyNumberFormat="1" applyFont="1" applyBorder="1"/>
    <xf numFmtId="0" fontId="6" fillId="0" borderId="22" xfId="3" applyFont="1" applyBorder="1"/>
    <xf numFmtId="3" fontId="6" fillId="0" borderId="1" xfId="3" applyNumberFormat="1" applyFont="1" applyBorder="1"/>
    <xf numFmtId="0" fontId="6" fillId="0" borderId="23" xfId="3" applyFont="1" applyBorder="1"/>
    <xf numFmtId="3" fontId="5" fillId="0" borderId="0" xfId="3" applyNumberFormat="1" applyFont="1"/>
    <xf numFmtId="0" fontId="6" fillId="0" borderId="24" xfId="3" applyFont="1" applyBorder="1"/>
    <xf numFmtId="3" fontId="6" fillId="0" borderId="6" xfId="3" applyNumberFormat="1" applyFont="1" applyBorder="1"/>
    <xf numFmtId="0" fontId="6" fillId="2" borderId="20" xfId="3" applyFont="1" applyFill="1" applyBorder="1" applyAlignment="1">
      <alignment horizontal="left" vertical="center"/>
    </xf>
    <xf numFmtId="0" fontId="6" fillId="2" borderId="22" xfId="3" applyFont="1" applyFill="1" applyBorder="1" applyAlignment="1">
      <alignment vertical="center"/>
    </xf>
    <xf numFmtId="3" fontId="6" fillId="0" borderId="12" xfId="3" applyNumberFormat="1" applyFont="1" applyBorder="1"/>
    <xf numFmtId="0" fontId="6" fillId="0" borderId="5" xfId="3" applyFont="1" applyBorder="1"/>
    <xf numFmtId="0" fontId="6" fillId="2" borderId="24" xfId="3" applyFont="1" applyFill="1" applyBorder="1" applyAlignment="1">
      <alignment vertical="center"/>
    </xf>
    <xf numFmtId="3" fontId="6" fillId="0" borderId="22" xfId="3" applyNumberFormat="1" applyFont="1" applyFill="1" applyBorder="1" applyAlignment="1">
      <alignment horizontal="left"/>
    </xf>
    <xf numFmtId="3" fontId="6" fillId="0" borderId="1" xfId="3" applyNumberFormat="1" applyFont="1" applyFill="1" applyBorder="1" applyAlignment="1">
      <alignment horizontal="right"/>
    </xf>
    <xf numFmtId="3" fontId="6" fillId="0" borderId="20" xfId="3" applyNumberFormat="1" applyFont="1" applyFill="1" applyBorder="1" applyAlignment="1">
      <alignment horizontal="left"/>
    </xf>
    <xf numFmtId="3" fontId="6" fillId="0" borderId="22" xfId="3" applyNumberFormat="1" applyFont="1" applyFill="1" applyBorder="1" applyAlignment="1">
      <alignment horizontal="left" wrapText="1"/>
    </xf>
    <xf numFmtId="0" fontId="6" fillId="0" borderId="22" xfId="3" applyFont="1" applyBorder="1" applyAlignment="1"/>
    <xf numFmtId="0" fontId="4" fillId="3" borderId="15" xfId="3" applyFont="1" applyFill="1" applyBorder="1" applyAlignment="1">
      <alignment horizontal="center" vertical="center"/>
    </xf>
    <xf numFmtId="0" fontId="4" fillId="3" borderId="4" xfId="3" applyFont="1" applyFill="1" applyBorder="1" applyAlignment="1">
      <alignment horizontal="right" vertical="center"/>
    </xf>
    <xf numFmtId="0" fontId="4" fillId="3" borderId="18" xfId="3" applyFont="1" applyFill="1" applyBorder="1" applyAlignment="1">
      <alignment horizontal="center" vertical="center"/>
    </xf>
    <xf numFmtId="49" fontId="4" fillId="3" borderId="19" xfId="3" applyNumberFormat="1" applyFont="1" applyFill="1" applyBorder="1" applyAlignment="1">
      <alignment horizontal="center" vertical="center" wrapText="1"/>
    </xf>
    <xf numFmtId="49" fontId="4" fillId="3" borderId="2" xfId="3" applyNumberFormat="1" applyFont="1" applyFill="1" applyBorder="1" applyAlignment="1">
      <alignment horizontal="center" vertical="center"/>
    </xf>
    <xf numFmtId="0" fontId="4" fillId="3" borderId="15" xfId="3" applyFont="1" applyFill="1" applyBorder="1"/>
    <xf numFmtId="3" fontId="4" fillId="3" borderId="7" xfId="3" applyNumberFormat="1" applyFont="1" applyFill="1" applyBorder="1"/>
    <xf numFmtId="0" fontId="4" fillId="3" borderId="11" xfId="3" applyFont="1" applyFill="1" applyBorder="1" applyAlignment="1">
      <alignment horizontal="center" vertical="center"/>
    </xf>
    <xf numFmtId="0" fontId="4" fillId="3" borderId="14" xfId="3" applyFont="1" applyFill="1" applyBorder="1" applyAlignment="1">
      <alignment horizontal="right" vertical="center"/>
    </xf>
    <xf numFmtId="0" fontId="4" fillId="3" borderId="17" xfId="3" applyFont="1" applyFill="1" applyBorder="1" applyAlignment="1">
      <alignment horizontal="center" vertical="center" textRotation="90" wrapText="1"/>
    </xf>
    <xf numFmtId="0" fontId="4" fillId="3" borderId="26" xfId="3" applyFont="1" applyFill="1" applyBorder="1"/>
    <xf numFmtId="3" fontId="4" fillId="3" borderId="8" xfId="3" applyNumberFormat="1" applyFont="1" applyFill="1" applyBorder="1"/>
    <xf numFmtId="3" fontId="6" fillId="2" borderId="5" xfId="3" applyNumberFormat="1" applyFont="1" applyFill="1" applyBorder="1"/>
    <xf numFmtId="3" fontId="6" fillId="0" borderId="27" xfId="3" applyNumberFormat="1" applyFont="1" applyBorder="1"/>
    <xf numFmtId="0" fontId="7" fillId="4" borderId="20" xfId="3" applyFont="1" applyFill="1" applyBorder="1"/>
    <xf numFmtId="0" fontId="7" fillId="4" borderId="22" xfId="3" applyFont="1" applyFill="1" applyBorder="1"/>
    <xf numFmtId="0" fontId="7" fillId="4" borderId="24" xfId="3" applyFont="1" applyFill="1" applyBorder="1"/>
    <xf numFmtId="0" fontId="7" fillId="4" borderId="15" xfId="3" applyFont="1" applyFill="1" applyBorder="1"/>
    <xf numFmtId="3" fontId="7" fillId="4" borderId="7" xfId="3" applyNumberFormat="1" applyFont="1" applyFill="1" applyBorder="1"/>
    <xf numFmtId="3" fontId="7" fillId="4" borderId="16" xfId="3" applyNumberFormat="1" applyFont="1" applyFill="1" applyBorder="1"/>
    <xf numFmtId="3" fontId="7" fillId="4" borderId="11" xfId="3" applyNumberFormat="1" applyFont="1" applyFill="1" applyBorder="1"/>
    <xf numFmtId="3" fontId="7" fillId="4" borderId="25" xfId="3" applyNumberFormat="1" applyFont="1" applyFill="1" applyBorder="1"/>
    <xf numFmtId="0" fontId="7" fillId="4" borderId="10" xfId="3" applyFont="1" applyFill="1" applyBorder="1"/>
    <xf numFmtId="0" fontId="7" fillId="4" borderId="11" xfId="3" applyFont="1" applyFill="1" applyBorder="1"/>
    <xf numFmtId="0" fontId="7" fillId="4" borderId="26" xfId="3" applyFont="1" applyFill="1" applyBorder="1"/>
    <xf numFmtId="3" fontId="7" fillId="4" borderId="28" xfId="3" applyNumberFormat="1" applyFont="1" applyFill="1" applyBorder="1"/>
    <xf numFmtId="0" fontId="7" fillId="4" borderId="15" xfId="3" applyFont="1" applyFill="1" applyBorder="1" applyAlignment="1">
      <alignment horizontal="left"/>
    </xf>
    <xf numFmtId="49" fontId="12" fillId="5" borderId="9" xfId="0" applyNumberFormat="1" applyFont="1" applyFill="1" applyBorder="1" applyAlignment="1">
      <alignment horizontal="center" vertical="center" wrapText="1"/>
    </xf>
    <xf numFmtId="0" fontId="7" fillId="4" borderId="29" xfId="3" applyFont="1" applyFill="1" applyBorder="1"/>
    <xf numFmtId="0" fontId="6" fillId="0" borderId="1" xfId="3" applyFont="1" applyBorder="1"/>
    <xf numFmtId="0" fontId="8" fillId="0" borderId="1" xfId="3" applyFont="1" applyBorder="1"/>
    <xf numFmtId="3" fontId="6" fillId="0" borderId="1" xfId="3" applyNumberFormat="1" applyFont="1" applyBorder="1" applyAlignment="1">
      <alignment wrapText="1"/>
    </xf>
    <xf numFmtId="3" fontId="0" fillId="0" borderId="0" xfId="0" applyNumberFormat="1"/>
    <xf numFmtId="0" fontId="12" fillId="5" borderId="30" xfId="0" applyFont="1" applyFill="1" applyBorder="1" applyAlignment="1">
      <alignment horizontal="center" vertical="center" wrapText="1"/>
    </xf>
    <xf numFmtId="49" fontId="11" fillId="5" borderId="31" xfId="0" applyNumberFormat="1" applyFont="1" applyFill="1" applyBorder="1" applyAlignment="1">
      <alignment horizontal="center" vertical="center"/>
    </xf>
    <xf numFmtId="0" fontId="9" fillId="0" borderId="32" xfId="3" applyFont="1" applyBorder="1" applyAlignment="1">
      <alignment horizontal="center" wrapText="1"/>
    </xf>
    <xf numFmtId="49" fontId="0" fillId="0" borderId="1" xfId="0" applyNumberFormat="1" applyBorder="1" applyAlignment="1">
      <alignment horizontal="center"/>
    </xf>
    <xf numFmtId="49" fontId="11" fillId="2" borderId="31" xfId="0" applyNumberFormat="1" applyFont="1" applyFill="1" applyBorder="1" applyAlignment="1">
      <alignment horizontal="center"/>
    </xf>
    <xf numFmtId="49" fontId="11" fillId="2" borderId="4" xfId="0" applyNumberFormat="1" applyFont="1" applyFill="1" applyBorder="1" applyAlignment="1">
      <alignment horizontal="center"/>
    </xf>
    <xf numFmtId="3" fontId="15" fillId="2" borderId="1" xfId="3" applyNumberFormat="1" applyFont="1" applyFill="1" applyBorder="1" applyAlignment="1">
      <alignment horizontal="center"/>
    </xf>
    <xf numFmtId="3" fontId="6" fillId="0" borderId="33" xfId="3" applyNumberFormat="1" applyFont="1" applyBorder="1"/>
    <xf numFmtId="3" fontId="7" fillId="4" borderId="34" xfId="3" applyNumberFormat="1" applyFont="1" applyFill="1" applyBorder="1"/>
    <xf numFmtId="3" fontId="6" fillId="2" borderId="1" xfId="3" applyNumberFormat="1" applyFont="1" applyFill="1" applyBorder="1"/>
    <xf numFmtId="49" fontId="16" fillId="0" borderId="1" xfId="0" applyNumberFormat="1" applyFont="1" applyBorder="1" applyAlignment="1">
      <alignment horizontal="center" vertical="center"/>
    </xf>
    <xf numFmtId="49" fontId="17" fillId="0" borderId="1" xfId="0" applyNumberFormat="1" applyFont="1" applyBorder="1" applyAlignment="1">
      <alignment horizontal="center"/>
    </xf>
    <xf numFmtId="49" fontId="18" fillId="0" borderId="1" xfId="0" applyNumberFormat="1" applyFont="1" applyBorder="1" applyAlignment="1">
      <alignment horizontal="center"/>
    </xf>
    <xf numFmtId="49" fontId="0" fillId="0" borderId="12" xfId="0" applyNumberFormat="1" applyBorder="1" applyAlignment="1">
      <alignment horizontal="center"/>
    </xf>
    <xf numFmtId="0" fontId="6" fillId="0" borderId="21" xfId="3" applyFont="1" applyBorder="1"/>
    <xf numFmtId="3" fontId="7" fillId="4" borderId="9" xfId="3" applyNumberFormat="1" applyFont="1" applyFill="1" applyBorder="1"/>
    <xf numFmtId="3" fontId="6" fillId="0" borderId="1" xfId="3" applyNumberFormat="1" applyFont="1" applyFill="1" applyBorder="1"/>
    <xf numFmtId="3" fontId="6" fillId="0" borderId="5" xfId="3" applyNumberFormat="1" applyFont="1" applyFill="1" applyBorder="1"/>
    <xf numFmtId="3" fontId="6" fillId="0" borderId="21" xfId="3" applyNumberFormat="1" applyFont="1" applyFill="1" applyBorder="1"/>
    <xf numFmtId="0" fontId="4" fillId="3" borderId="14" xfId="3" applyFont="1" applyFill="1" applyBorder="1" applyAlignment="1">
      <alignment horizontal="center" vertical="center"/>
    </xf>
    <xf numFmtId="3" fontId="6" fillId="0" borderId="33" xfId="3" applyNumberFormat="1" applyFont="1" applyFill="1" applyBorder="1" applyAlignment="1">
      <alignment horizontal="right"/>
    </xf>
    <xf numFmtId="3" fontId="6" fillId="0" borderId="36" xfId="3" applyNumberFormat="1" applyFont="1" applyBorder="1"/>
    <xf numFmtId="3" fontId="7" fillId="4" borderId="2" xfId="3" applyNumberFormat="1" applyFont="1" applyFill="1" applyBorder="1"/>
    <xf numFmtId="3" fontId="7" fillId="4" borderId="35" xfId="3" applyNumberFormat="1" applyFont="1" applyFill="1" applyBorder="1"/>
    <xf numFmtId="3" fontId="7" fillId="4" borderId="37" xfId="3" applyNumberFormat="1" applyFont="1" applyFill="1" applyBorder="1"/>
    <xf numFmtId="3" fontId="6" fillId="4" borderId="4" xfId="3" applyNumberFormat="1" applyFont="1" applyFill="1" applyBorder="1"/>
    <xf numFmtId="3" fontId="7" fillId="4" borderId="8" xfId="3" applyNumberFormat="1" applyFont="1" applyFill="1" applyBorder="1"/>
    <xf numFmtId="3" fontId="7" fillId="4" borderId="31" xfId="3" applyNumberFormat="1" applyFont="1" applyFill="1" applyBorder="1"/>
    <xf numFmtId="3" fontId="7" fillId="4" borderId="18" xfId="3" applyNumberFormat="1" applyFont="1" applyFill="1" applyBorder="1"/>
    <xf numFmtId="3" fontId="7" fillId="4" borderId="38" xfId="3" applyNumberFormat="1" applyFont="1" applyFill="1" applyBorder="1"/>
    <xf numFmtId="3" fontId="7" fillId="4" borderId="40" xfId="3" applyNumberFormat="1" applyFont="1" applyFill="1" applyBorder="1"/>
    <xf numFmtId="3" fontId="6" fillId="0" borderId="39" xfId="3" applyNumberFormat="1" applyFont="1" applyBorder="1"/>
    <xf numFmtId="0" fontId="0" fillId="0" borderId="0" xfId="0" applyAlignment="1">
      <alignment horizontal="left"/>
    </xf>
    <xf numFmtId="3" fontId="6" fillId="0" borderId="6" xfId="3" applyNumberFormat="1" applyFont="1" applyFill="1" applyBorder="1"/>
    <xf numFmtId="0" fontId="9" fillId="0" borderId="0" xfId="3" applyFont="1" applyBorder="1" applyAlignment="1">
      <alignment horizontal="center" wrapText="1"/>
    </xf>
    <xf numFmtId="0" fontId="9" fillId="0" borderId="0" xfId="3" applyFont="1" applyBorder="1" applyAlignment="1">
      <alignment horizontal="center" wrapText="1"/>
    </xf>
    <xf numFmtId="3" fontId="20" fillId="0" borderId="5" xfId="3" applyNumberFormat="1" applyFont="1" applyFill="1" applyBorder="1"/>
    <xf numFmtId="0" fontId="9" fillId="0" borderId="0" xfId="3" applyFont="1" applyBorder="1" applyAlignment="1">
      <alignment horizontal="center" wrapText="1"/>
    </xf>
    <xf numFmtId="49" fontId="4" fillId="3" borderId="41" xfId="3" applyNumberFormat="1" applyFont="1" applyFill="1" applyBorder="1" applyAlignment="1">
      <alignment horizontal="center" vertical="center" wrapText="1"/>
    </xf>
    <xf numFmtId="3" fontId="6" fillId="2" borderId="33" xfId="3" applyNumberFormat="1" applyFont="1" applyFill="1" applyBorder="1"/>
    <xf numFmtId="3" fontId="6" fillId="0" borderId="33" xfId="3" applyNumberFormat="1" applyFont="1" applyFill="1" applyBorder="1"/>
    <xf numFmtId="3" fontId="6" fillId="0" borderId="27" xfId="3" applyNumberFormat="1" applyFont="1" applyFill="1" applyBorder="1"/>
    <xf numFmtId="3" fontId="7" fillId="4" borderId="42" xfId="3" applyNumberFormat="1" applyFont="1" applyFill="1" applyBorder="1"/>
    <xf numFmtId="3" fontId="7" fillId="4" borderId="43" xfId="3" applyNumberFormat="1" applyFont="1" applyFill="1" applyBorder="1"/>
    <xf numFmtId="3" fontId="7" fillId="4" borderId="19" xfId="3" applyNumberFormat="1" applyFont="1" applyFill="1" applyBorder="1"/>
    <xf numFmtId="3" fontId="20" fillId="0" borderId="1" xfId="3" applyNumberFormat="1" applyFont="1" applyBorder="1"/>
    <xf numFmtId="3" fontId="20" fillId="0" borderId="6" xfId="3" applyNumberFormat="1" applyFont="1" applyFill="1" applyBorder="1"/>
    <xf numFmtId="3" fontId="20" fillId="0" borderId="1" xfId="3" applyNumberFormat="1" applyFont="1" applyFill="1" applyBorder="1"/>
    <xf numFmtId="3" fontId="21" fillId="4" borderId="25" xfId="3" applyNumberFormat="1" applyFont="1" applyFill="1" applyBorder="1"/>
    <xf numFmtId="3" fontId="20" fillId="0" borderId="33" xfId="3" applyNumberFormat="1" applyFont="1" applyBorder="1"/>
    <xf numFmtId="0" fontId="9" fillId="0" borderId="0" xfId="3" applyFont="1" applyBorder="1" applyAlignment="1">
      <alignment horizontal="center" wrapText="1"/>
    </xf>
    <xf numFmtId="3" fontId="20" fillId="2" borderId="1" xfId="3" applyNumberFormat="1" applyFont="1" applyFill="1" applyBorder="1"/>
    <xf numFmtId="3" fontId="20" fillId="0" borderId="21" xfId="3" applyNumberFormat="1" applyFont="1" applyFill="1" applyBorder="1"/>
    <xf numFmtId="0" fontId="6" fillId="0" borderId="20" xfId="3" applyFont="1" applyFill="1" applyBorder="1"/>
    <xf numFmtId="0" fontId="0" fillId="0" borderId="0" xfId="0" applyFill="1"/>
    <xf numFmtId="3" fontId="20" fillId="0" borderId="1" xfId="3" applyNumberFormat="1" applyFont="1" applyFill="1" applyBorder="1" applyAlignment="1">
      <alignment horizontal="right"/>
    </xf>
    <xf numFmtId="3" fontId="7" fillId="4" borderId="10" xfId="3" applyNumberFormat="1" applyFont="1" applyFill="1" applyBorder="1"/>
    <xf numFmtId="3" fontId="20" fillId="0" borderId="5" xfId="3" applyNumberFormat="1" applyFont="1" applyBorder="1"/>
    <xf numFmtId="3" fontId="20" fillId="0" borderId="27" xfId="3" applyNumberFormat="1" applyFont="1" applyFill="1" applyBorder="1"/>
    <xf numFmtId="0" fontId="9" fillId="0" borderId="0" xfId="3" applyFont="1" applyBorder="1" applyAlignment="1">
      <alignment horizontal="center" wrapText="1"/>
    </xf>
    <xf numFmtId="0" fontId="9" fillId="0" borderId="0" xfId="3" applyFont="1" applyBorder="1" applyAlignment="1">
      <alignment horizontal="center" wrapText="1"/>
    </xf>
    <xf numFmtId="0" fontId="9" fillId="0" borderId="0" xfId="3" applyFont="1" applyBorder="1" applyAlignment="1">
      <alignment horizontal="center" wrapText="1"/>
    </xf>
    <xf numFmtId="3" fontId="21" fillId="4" borderId="16" xfId="3" applyNumberFormat="1" applyFont="1" applyFill="1" applyBorder="1"/>
    <xf numFmtId="3" fontId="21" fillId="4" borderId="35" xfId="3" applyNumberFormat="1" applyFont="1" applyFill="1" applyBorder="1"/>
    <xf numFmtId="3" fontId="20" fillId="2" borderId="5" xfId="3" applyNumberFormat="1" applyFont="1" applyFill="1" applyBorder="1"/>
    <xf numFmtId="0" fontId="9" fillId="0" borderId="0" xfId="3" applyFont="1" applyBorder="1" applyAlignment="1">
      <alignment horizontal="center" wrapText="1"/>
    </xf>
    <xf numFmtId="3" fontId="20" fillId="0" borderId="6" xfId="3" applyNumberFormat="1" applyFont="1" applyBorder="1"/>
    <xf numFmtId="3" fontId="20" fillId="0" borderId="21" xfId="3" applyNumberFormat="1" applyFont="1" applyBorder="1"/>
    <xf numFmtId="3" fontId="6" fillId="2" borderId="6" xfId="3" applyNumberFormat="1" applyFont="1" applyFill="1" applyBorder="1"/>
    <xf numFmtId="3" fontId="20" fillId="2" borderId="21" xfId="3" applyNumberFormat="1" applyFont="1" applyFill="1" applyBorder="1"/>
    <xf numFmtId="0" fontId="9" fillId="0" borderId="0" xfId="3" applyFont="1" applyBorder="1" applyAlignment="1">
      <alignment horizontal="center" wrapText="1"/>
    </xf>
    <xf numFmtId="3" fontId="6" fillId="2" borderId="21" xfId="3" applyNumberFormat="1" applyFont="1" applyFill="1" applyBorder="1"/>
    <xf numFmtId="0" fontId="9" fillId="0" borderId="0" xfId="3" applyFont="1" applyBorder="1" applyAlignment="1">
      <alignment horizontal="center" wrapText="1"/>
    </xf>
    <xf numFmtId="0" fontId="9" fillId="0" borderId="0" xfId="3" applyFont="1" applyBorder="1" applyAlignment="1">
      <alignment horizontal="center" wrapText="1"/>
    </xf>
    <xf numFmtId="3" fontId="7" fillId="4" borderId="44" xfId="3" applyNumberFormat="1" applyFont="1" applyFill="1" applyBorder="1"/>
    <xf numFmtId="3" fontId="7" fillId="4" borderId="45" xfId="3" applyNumberFormat="1" applyFont="1" applyFill="1" applyBorder="1"/>
    <xf numFmtId="3" fontId="7" fillId="4" borderId="41" xfId="3" applyNumberFormat="1" applyFont="1" applyFill="1" applyBorder="1"/>
    <xf numFmtId="3" fontId="7" fillId="4" borderId="46" xfId="3" applyNumberFormat="1" applyFont="1" applyFill="1" applyBorder="1"/>
    <xf numFmtId="3" fontId="7" fillId="4" borderId="17" xfId="3" applyNumberFormat="1" applyFont="1" applyFill="1" applyBorder="1"/>
    <xf numFmtId="0" fontId="6" fillId="0" borderId="12" xfId="3" applyFont="1" applyBorder="1"/>
    <xf numFmtId="3" fontId="24" fillId="0" borderId="1" xfId="3" applyNumberFormat="1" applyFont="1" applyBorder="1"/>
    <xf numFmtId="0" fontId="9" fillId="0" borderId="0" xfId="3" applyFont="1" applyBorder="1" applyAlignment="1">
      <alignment horizontal="center" wrapText="1"/>
    </xf>
    <xf numFmtId="3" fontId="6" fillId="6" borderId="5" xfId="3" applyNumberFormat="1" applyFont="1" applyFill="1" applyBorder="1"/>
    <xf numFmtId="3" fontId="6" fillId="6" borderId="21" xfId="3" applyNumberFormat="1" applyFont="1" applyFill="1" applyBorder="1"/>
    <xf numFmtId="3" fontId="20" fillId="2" borderId="6" xfId="3" applyNumberFormat="1" applyFont="1" applyFill="1" applyBorder="1"/>
    <xf numFmtId="3" fontId="20" fillId="6" borderId="1" xfId="3" applyNumberFormat="1" applyFont="1" applyFill="1" applyBorder="1"/>
    <xf numFmtId="3" fontId="6" fillId="6" borderId="1" xfId="3" applyNumberFormat="1" applyFont="1" applyFill="1" applyBorder="1"/>
    <xf numFmtId="0" fontId="9" fillId="0" borderId="0" xfId="3" applyFont="1" applyAlignment="1">
      <alignment horizontal="center"/>
    </xf>
    <xf numFmtId="0" fontId="9" fillId="0" borderId="0" xfId="3" applyFont="1" applyAlignment="1">
      <alignment horizontal="center" wrapText="1"/>
    </xf>
    <xf numFmtId="0" fontId="19" fillId="0" borderId="0" xfId="0" applyFont="1" applyAlignment="1">
      <alignment horizontal="left" wrapText="1"/>
    </xf>
    <xf numFmtId="0" fontId="0" fillId="0" borderId="0" xfId="0" applyAlignment="1">
      <alignment horizontal="center"/>
    </xf>
    <xf numFmtId="0" fontId="12" fillId="0" borderId="0" xfId="0" applyFont="1" applyBorder="1" applyAlignment="1">
      <alignment horizontal="center"/>
    </xf>
    <xf numFmtId="0" fontId="9" fillId="0" borderId="0" xfId="3" applyFont="1" applyBorder="1" applyAlignment="1">
      <alignment horizontal="center" wrapText="1"/>
    </xf>
  </cellXfs>
  <cellStyles count="5">
    <cellStyle name="Normal" xfId="0" builtinId="0"/>
    <cellStyle name="Normal 2" xfId="1"/>
    <cellStyle name="Normal 2 2" xfId="3"/>
    <cellStyle name="Normal 3" xfId="2"/>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7"/>
  <sheetViews>
    <sheetView topLeftCell="B25" zoomScale="120" zoomScaleNormal="120" workbookViewId="0">
      <selection activeCell="C139" sqref="C139"/>
    </sheetView>
  </sheetViews>
  <sheetFormatPr defaultRowHeight="15" x14ac:dyDescent="0.25"/>
  <cols>
    <col min="1" max="1" width="0.85546875" hidden="1" customWidth="1"/>
    <col min="2" max="2" width="47.42578125" customWidth="1"/>
    <col min="3" max="3" width="11.42578125" customWidth="1"/>
    <col min="4" max="4" width="7.85546875" customWidth="1"/>
    <col min="5" max="5" width="8.28515625" customWidth="1"/>
    <col min="6" max="6" width="12.42578125" customWidth="1"/>
  </cols>
  <sheetData>
    <row r="1" spans="2:6" ht="9.75" customHeight="1" x14ac:dyDescent="0.25"/>
    <row r="2" spans="2:6" x14ac:dyDescent="0.25">
      <c r="B2" s="144" t="s">
        <v>0</v>
      </c>
      <c r="C2" s="144"/>
      <c r="D2" s="144"/>
      <c r="E2" s="144"/>
      <c r="F2" s="144"/>
    </row>
    <row r="3" spans="2:6" x14ac:dyDescent="0.25">
      <c r="B3" s="145" t="s">
        <v>182</v>
      </c>
      <c r="C3" s="145"/>
      <c r="D3" s="145"/>
      <c r="E3" s="145"/>
      <c r="F3" s="145"/>
    </row>
    <row r="4" spans="2:6" ht="16.5" thickBot="1" x14ac:dyDescent="0.3">
      <c r="B4" s="3"/>
      <c r="C4" s="3"/>
      <c r="D4" s="3"/>
      <c r="E4" s="3"/>
      <c r="F4" s="5" t="s">
        <v>1</v>
      </c>
    </row>
    <row r="5" spans="2:6" ht="105" thickBot="1" x14ac:dyDescent="0.3">
      <c r="B5" s="24" t="s">
        <v>2</v>
      </c>
      <c r="C5" s="33" t="s">
        <v>3</v>
      </c>
      <c r="D5" s="33" t="s">
        <v>4</v>
      </c>
      <c r="E5" s="33" t="s">
        <v>173</v>
      </c>
      <c r="F5" s="25" t="s">
        <v>5</v>
      </c>
    </row>
    <row r="6" spans="2:6" ht="16.5" thickBot="1" x14ac:dyDescent="0.3">
      <c r="B6" s="26" t="s">
        <v>6</v>
      </c>
      <c r="C6" s="31" t="s">
        <v>7</v>
      </c>
      <c r="D6" s="27" t="s">
        <v>8</v>
      </c>
      <c r="E6" s="76">
        <v>13</v>
      </c>
      <c r="F6" s="28"/>
    </row>
    <row r="7" spans="2:6" x14ac:dyDescent="0.25">
      <c r="B7" s="6" t="s">
        <v>9</v>
      </c>
      <c r="C7" s="75">
        <f>2431252+10100+7241+4204+10042+1172-23316+164223</f>
        <v>2604918</v>
      </c>
      <c r="D7" s="7"/>
      <c r="E7" s="64"/>
      <c r="F7" s="2">
        <f>SUM(C7:E7)</f>
        <v>2604918</v>
      </c>
    </row>
    <row r="8" spans="2:6" x14ac:dyDescent="0.25">
      <c r="B8" s="8" t="s">
        <v>10</v>
      </c>
      <c r="C8" s="73">
        <f>28935+3201</f>
        <v>32136</v>
      </c>
      <c r="D8" s="9"/>
      <c r="E8" s="64"/>
      <c r="F8" s="2">
        <f t="shared" ref="F8:F14" si="0">SUM(C8:E8)</f>
        <v>32136</v>
      </c>
    </row>
    <row r="9" spans="2:6" x14ac:dyDescent="0.25">
      <c r="B9" s="8" t="s">
        <v>11</v>
      </c>
      <c r="C9" s="9"/>
      <c r="D9" s="9">
        <f>54750+2000+2500+530+750+670-3000-930</f>
        <v>57270</v>
      </c>
      <c r="E9" s="64"/>
      <c r="F9" s="2">
        <f t="shared" si="0"/>
        <v>57270</v>
      </c>
    </row>
    <row r="10" spans="2:6" x14ac:dyDescent="0.25">
      <c r="B10" s="8" t="s">
        <v>169</v>
      </c>
      <c r="C10" s="9">
        <v>2527</v>
      </c>
      <c r="D10" s="9">
        <f>4500+3000+250</f>
        <v>7750</v>
      </c>
      <c r="E10" s="64"/>
      <c r="F10" s="2">
        <f t="shared" si="0"/>
        <v>10277</v>
      </c>
    </row>
    <row r="11" spans="2:6" x14ac:dyDescent="0.25">
      <c r="B11" s="8" t="s">
        <v>170</v>
      </c>
      <c r="C11" s="9"/>
      <c r="D11" s="9"/>
      <c r="E11" s="64"/>
      <c r="F11" s="2">
        <f>SUM(C11:E11)</f>
        <v>0</v>
      </c>
    </row>
    <row r="12" spans="2:6" x14ac:dyDescent="0.25">
      <c r="B12" s="8" t="s">
        <v>12</v>
      </c>
      <c r="C12" s="9"/>
      <c r="D12" s="9"/>
      <c r="E12" s="64"/>
      <c r="F12" s="2">
        <f t="shared" si="0"/>
        <v>0</v>
      </c>
    </row>
    <row r="13" spans="2:6" x14ac:dyDescent="0.25">
      <c r="B13" s="8" t="s">
        <v>13</v>
      </c>
      <c r="C13" s="1">
        <v>922</v>
      </c>
      <c r="D13" s="1">
        <v>4380</v>
      </c>
      <c r="E13" s="9"/>
      <c r="F13" s="2">
        <f t="shared" si="0"/>
        <v>5302</v>
      </c>
    </row>
    <row r="14" spans="2:6" ht="15.75" thickBot="1" x14ac:dyDescent="0.3">
      <c r="B14" s="10" t="s">
        <v>172</v>
      </c>
      <c r="C14" s="1"/>
      <c r="D14" s="1"/>
      <c r="E14" s="37">
        <v>2797</v>
      </c>
      <c r="F14" s="2">
        <f t="shared" si="0"/>
        <v>2797</v>
      </c>
    </row>
    <row r="15" spans="2:6" ht="16.5" thickBot="1" x14ac:dyDescent="0.3">
      <c r="B15" s="29" t="s">
        <v>14</v>
      </c>
      <c r="C15" s="30">
        <f t="shared" ref="C15:E15" si="1">SUM(C7:C14)</f>
        <v>2640503</v>
      </c>
      <c r="D15" s="30">
        <f t="shared" si="1"/>
        <v>69400</v>
      </c>
      <c r="E15" s="30">
        <f t="shared" si="1"/>
        <v>2797</v>
      </c>
      <c r="F15" s="30">
        <f>SUM(F7:F14)</f>
        <v>2712700</v>
      </c>
    </row>
    <row r="16" spans="2:6" ht="6.75" customHeight="1" thickBot="1" x14ac:dyDescent="0.3">
      <c r="B16" s="3"/>
      <c r="C16" s="11"/>
      <c r="D16" s="11"/>
      <c r="E16" s="11"/>
      <c r="F16" s="11"/>
    </row>
    <row r="17" spans="2:8" ht="105" thickBot="1" x14ac:dyDescent="0.3">
      <c r="B17" s="24" t="s">
        <v>15</v>
      </c>
      <c r="C17" s="33" t="s">
        <v>3</v>
      </c>
      <c r="D17" s="33" t="s">
        <v>4</v>
      </c>
      <c r="E17" s="33" t="s">
        <v>173</v>
      </c>
      <c r="F17" s="25" t="s">
        <v>5</v>
      </c>
    </row>
    <row r="18" spans="2:8" ht="16.5" thickBot="1" x14ac:dyDescent="0.3">
      <c r="B18" s="31" t="s">
        <v>6</v>
      </c>
      <c r="C18" s="31" t="s">
        <v>7</v>
      </c>
      <c r="D18" s="27" t="s">
        <v>8</v>
      </c>
      <c r="E18" s="76"/>
      <c r="F18" s="28"/>
    </row>
    <row r="19" spans="2:8" ht="15.75" thickBot="1" x14ac:dyDescent="0.3">
      <c r="B19" s="41" t="s">
        <v>16</v>
      </c>
      <c r="C19" s="45">
        <f>(1767728+285060)*1.08</f>
        <v>2217011.04</v>
      </c>
      <c r="D19" s="45">
        <f>26000-5000</f>
        <v>21000</v>
      </c>
      <c r="E19" s="45"/>
      <c r="F19" s="45">
        <f>SUM(C19:E19)</f>
        <v>2238011.04</v>
      </c>
    </row>
    <row r="20" spans="2:8" ht="15.75" thickBot="1" x14ac:dyDescent="0.3">
      <c r="B20" s="41" t="s">
        <v>17</v>
      </c>
      <c r="C20" s="45">
        <f>48126+8149</f>
        <v>56275</v>
      </c>
      <c r="D20" s="45">
        <v>400</v>
      </c>
      <c r="E20" s="45"/>
      <c r="F20" s="45">
        <f t="shared" ref="F20:F21" si="2">SUM(C20:E20)</f>
        <v>56675</v>
      </c>
      <c r="H20" s="56"/>
    </row>
    <row r="21" spans="2:8" ht="15.75" thickBot="1" x14ac:dyDescent="0.3">
      <c r="B21" s="41" t="s">
        <v>18</v>
      </c>
      <c r="C21" s="45"/>
      <c r="D21" s="45">
        <f>1800+100</f>
        <v>1900</v>
      </c>
      <c r="E21" s="45"/>
      <c r="F21" s="45">
        <f t="shared" si="2"/>
        <v>1900</v>
      </c>
    </row>
    <row r="22" spans="2:8" ht="15.75" thickBot="1" x14ac:dyDescent="0.3">
      <c r="B22" s="41" t="s">
        <v>19</v>
      </c>
      <c r="C22" s="42">
        <f>+C24+C25+C26+C27+C28+C23</f>
        <v>24903</v>
      </c>
      <c r="D22" s="42">
        <f t="shared" ref="D22" si="3">+D24+D25+D26+D27+D28+D23</f>
        <v>2100</v>
      </c>
      <c r="E22" s="42"/>
      <c r="F22" s="45">
        <f>SUM(C22:E22)</f>
        <v>27003</v>
      </c>
    </row>
    <row r="23" spans="2:8" x14ac:dyDescent="0.25">
      <c r="B23" s="6" t="s">
        <v>177</v>
      </c>
      <c r="C23" s="9">
        <v>53</v>
      </c>
      <c r="D23" s="9"/>
      <c r="E23" s="7"/>
      <c r="F23" s="7">
        <f>SUM(C23:E23)</f>
        <v>53</v>
      </c>
    </row>
    <row r="24" spans="2:8" x14ac:dyDescent="0.25">
      <c r="B24" s="6" t="s">
        <v>20</v>
      </c>
      <c r="C24" s="9"/>
      <c r="D24" s="9">
        <v>600</v>
      </c>
      <c r="E24" s="7"/>
      <c r="F24" s="7">
        <f>SUM(C24:E24)</f>
        <v>600</v>
      </c>
    </row>
    <row r="25" spans="2:8" x14ac:dyDescent="0.25">
      <c r="B25" s="8" t="s">
        <v>21</v>
      </c>
      <c r="C25" s="73">
        <f>7650+9700</f>
        <v>17350</v>
      </c>
      <c r="D25" s="9">
        <v>400</v>
      </c>
      <c r="E25" s="7"/>
      <c r="F25" s="7">
        <f t="shared" ref="F25:F28" si="4">SUM(C25:E25)</f>
        <v>17750</v>
      </c>
    </row>
    <row r="26" spans="2:8" x14ac:dyDescent="0.25">
      <c r="B26" s="8" t="s">
        <v>22</v>
      </c>
      <c r="C26" s="9">
        <f>250-53+303</f>
        <v>500</v>
      </c>
      <c r="D26" s="9">
        <v>100</v>
      </c>
      <c r="E26" s="7"/>
      <c r="F26" s="7">
        <f t="shared" si="4"/>
        <v>600</v>
      </c>
    </row>
    <row r="27" spans="2:8" x14ac:dyDescent="0.25">
      <c r="B27" s="12" t="s">
        <v>23</v>
      </c>
      <c r="C27" s="1">
        <f>750+150+500</f>
        <v>1400</v>
      </c>
      <c r="D27" s="1">
        <v>100</v>
      </c>
      <c r="E27" s="9"/>
      <c r="F27" s="7">
        <f t="shared" si="4"/>
        <v>1500</v>
      </c>
    </row>
    <row r="28" spans="2:8" ht="15.75" thickBot="1" x14ac:dyDescent="0.3">
      <c r="B28" s="8" t="s">
        <v>167</v>
      </c>
      <c r="C28" s="74">
        <f>1400+2400+2000+300-500</f>
        <v>5600</v>
      </c>
      <c r="D28" s="74">
        <v>900</v>
      </c>
      <c r="E28" s="13"/>
      <c r="F28" s="7">
        <f t="shared" si="4"/>
        <v>6500</v>
      </c>
    </row>
    <row r="29" spans="2:8" ht="15.75" thickBot="1" x14ac:dyDescent="0.3">
      <c r="B29" s="41" t="s">
        <v>24</v>
      </c>
      <c r="C29" s="45">
        <f t="shared" ref="C29" si="5">+C30</f>
        <v>29250</v>
      </c>
      <c r="D29" s="45">
        <f>+D30+D31</f>
        <v>510</v>
      </c>
      <c r="E29" s="87"/>
      <c r="F29" s="45">
        <f>F30+F31</f>
        <v>29760</v>
      </c>
    </row>
    <row r="30" spans="2:8" x14ac:dyDescent="0.25">
      <c r="B30" s="10" t="s">
        <v>25</v>
      </c>
      <c r="C30" s="13">
        <v>29250</v>
      </c>
      <c r="D30" s="37">
        <v>200</v>
      </c>
      <c r="E30" s="9"/>
      <c r="F30" s="88">
        <f>SUM(C30:D30)</f>
        <v>29450</v>
      </c>
    </row>
    <row r="31" spans="2:8" x14ac:dyDescent="0.25">
      <c r="B31" s="53" t="s">
        <v>178</v>
      </c>
      <c r="C31" s="9"/>
      <c r="D31" s="9">
        <v>310</v>
      </c>
      <c r="E31" s="9"/>
      <c r="F31" s="9">
        <f>SUM(C31:D31)</f>
        <v>310</v>
      </c>
    </row>
    <row r="32" spans="2:8" ht="15.75" thickBot="1" x14ac:dyDescent="0.3">
      <c r="B32" s="48" t="s">
        <v>26</v>
      </c>
      <c r="C32" s="86">
        <f>SUM(C33:C56)</f>
        <v>97081</v>
      </c>
      <c r="D32" s="86">
        <f t="shared" ref="D32" si="6">SUM(D33:D56)</f>
        <v>9870</v>
      </c>
      <c r="E32" s="86"/>
      <c r="F32" s="86">
        <f>SUM(F33:F56)</f>
        <v>106951</v>
      </c>
    </row>
    <row r="33" spans="2:6" x14ac:dyDescent="0.25">
      <c r="B33" s="53" t="s">
        <v>27</v>
      </c>
      <c r="C33" s="9">
        <f>1400+400+100</f>
        <v>1900</v>
      </c>
      <c r="D33" s="9">
        <f>200+100</f>
        <v>300</v>
      </c>
      <c r="E33" s="9"/>
      <c r="F33" s="9">
        <f>SUM(C33:E33)</f>
        <v>2200</v>
      </c>
    </row>
    <row r="34" spans="2:6" x14ac:dyDescent="0.25">
      <c r="B34" s="53" t="s">
        <v>28</v>
      </c>
      <c r="C34" s="73">
        <f>27192-1500-1400+1100</f>
        <v>25392</v>
      </c>
      <c r="D34" s="66">
        <v>1200</v>
      </c>
      <c r="E34" s="9"/>
      <c r="F34" s="9">
        <f t="shared" ref="F34:F56" si="7">SUM(C34:E34)</f>
        <v>26592</v>
      </c>
    </row>
    <row r="35" spans="2:6" x14ac:dyDescent="0.25">
      <c r="B35" s="53" t="s">
        <v>29</v>
      </c>
      <c r="C35" s="73">
        <f>11000+1500</f>
        <v>12500</v>
      </c>
      <c r="D35" s="66">
        <v>100</v>
      </c>
      <c r="E35" s="9"/>
      <c r="F35" s="9">
        <f t="shared" si="7"/>
        <v>12600</v>
      </c>
    </row>
    <row r="36" spans="2:6" x14ac:dyDescent="0.25">
      <c r="B36" s="53" t="s">
        <v>30</v>
      </c>
      <c r="C36" s="73">
        <v>100</v>
      </c>
      <c r="D36" s="9"/>
      <c r="E36" s="9"/>
      <c r="F36" s="9">
        <f t="shared" si="7"/>
        <v>100</v>
      </c>
    </row>
    <row r="37" spans="2:6" x14ac:dyDescent="0.25">
      <c r="B37" s="53" t="s">
        <v>31</v>
      </c>
      <c r="C37" s="73">
        <v>23000</v>
      </c>
      <c r="D37" s="66">
        <v>3500</v>
      </c>
      <c r="E37" s="9"/>
      <c r="F37" s="9">
        <f t="shared" si="7"/>
        <v>26500</v>
      </c>
    </row>
    <row r="38" spans="2:6" x14ac:dyDescent="0.25">
      <c r="B38" s="53" t="s">
        <v>32</v>
      </c>
      <c r="C38" s="73">
        <v>6540</v>
      </c>
      <c r="D38" s="9"/>
      <c r="E38" s="9"/>
      <c r="F38" s="9">
        <f t="shared" si="7"/>
        <v>6540</v>
      </c>
    </row>
    <row r="39" spans="2:6" x14ac:dyDescent="0.25">
      <c r="B39" s="53" t="s">
        <v>33</v>
      </c>
      <c r="C39" s="9">
        <v>500</v>
      </c>
      <c r="D39" s="9"/>
      <c r="E39" s="9"/>
      <c r="F39" s="9">
        <f t="shared" si="7"/>
        <v>500</v>
      </c>
    </row>
    <row r="40" spans="2:6" x14ac:dyDescent="0.25">
      <c r="B40" s="53" t="s">
        <v>34</v>
      </c>
      <c r="C40" s="9">
        <v>550</v>
      </c>
      <c r="D40" s="9"/>
      <c r="E40" s="9"/>
      <c r="F40" s="9">
        <f t="shared" si="7"/>
        <v>550</v>
      </c>
    </row>
    <row r="41" spans="2:6" x14ac:dyDescent="0.25">
      <c r="B41" s="53" t="s">
        <v>35</v>
      </c>
      <c r="C41" s="9">
        <v>5500</v>
      </c>
      <c r="D41" s="9"/>
      <c r="E41" s="9"/>
      <c r="F41" s="9">
        <f t="shared" si="7"/>
        <v>5500</v>
      </c>
    </row>
    <row r="42" spans="2:6" x14ac:dyDescent="0.25">
      <c r="B42" s="53" t="s">
        <v>36</v>
      </c>
      <c r="C42" s="9">
        <v>3600</v>
      </c>
      <c r="D42" s="9">
        <f>3700-100</f>
        <v>3600</v>
      </c>
      <c r="E42" s="9"/>
      <c r="F42" s="9">
        <f t="shared" si="7"/>
        <v>7200</v>
      </c>
    </row>
    <row r="43" spans="2:6" x14ac:dyDescent="0.25">
      <c r="B43" s="53" t="s">
        <v>37</v>
      </c>
      <c r="C43" s="9">
        <v>6500</v>
      </c>
      <c r="D43" s="9"/>
      <c r="E43" s="9"/>
      <c r="F43" s="9">
        <f t="shared" si="7"/>
        <v>6500</v>
      </c>
    </row>
    <row r="44" spans="2:6" x14ac:dyDescent="0.25">
      <c r="B44" s="53" t="s">
        <v>38</v>
      </c>
      <c r="C44" s="9">
        <v>2700</v>
      </c>
      <c r="D44" s="9"/>
      <c r="E44" s="9"/>
      <c r="F44" s="9">
        <f t="shared" si="7"/>
        <v>2700</v>
      </c>
    </row>
    <row r="45" spans="2:6" x14ac:dyDescent="0.25">
      <c r="B45" s="53" t="s">
        <v>39</v>
      </c>
      <c r="C45" s="9">
        <v>1500</v>
      </c>
      <c r="D45" s="9"/>
      <c r="E45" s="9"/>
      <c r="F45" s="9">
        <f t="shared" si="7"/>
        <v>1500</v>
      </c>
    </row>
    <row r="46" spans="2:6" x14ac:dyDescent="0.25">
      <c r="B46" s="53" t="s">
        <v>40</v>
      </c>
      <c r="C46" s="9"/>
      <c r="D46" s="9"/>
      <c r="E46" s="9"/>
      <c r="F46" s="9">
        <f t="shared" si="7"/>
        <v>0</v>
      </c>
    </row>
    <row r="47" spans="2:6" x14ac:dyDescent="0.25">
      <c r="B47" s="53" t="s">
        <v>41</v>
      </c>
      <c r="C47" s="9">
        <f>400+100+100</f>
        <v>600</v>
      </c>
      <c r="D47" s="9">
        <v>50</v>
      </c>
      <c r="E47" s="9"/>
      <c r="F47" s="9">
        <f t="shared" si="7"/>
        <v>650</v>
      </c>
    </row>
    <row r="48" spans="2:6" x14ac:dyDescent="0.25">
      <c r="B48" s="53" t="s">
        <v>42</v>
      </c>
      <c r="C48" s="9">
        <f>463+86+150</f>
        <v>699</v>
      </c>
      <c r="D48" s="9"/>
      <c r="E48" s="9"/>
      <c r="F48" s="9">
        <f t="shared" si="7"/>
        <v>699</v>
      </c>
    </row>
    <row r="49" spans="2:6" x14ac:dyDescent="0.25">
      <c r="B49" s="53" t="s">
        <v>43</v>
      </c>
      <c r="C49" s="9">
        <f>2050+150-150-500+200</f>
        <v>1750</v>
      </c>
      <c r="D49" s="9"/>
      <c r="E49" s="9"/>
      <c r="F49" s="9">
        <f t="shared" si="7"/>
        <v>1750</v>
      </c>
    </row>
    <row r="50" spans="2:6" x14ac:dyDescent="0.25">
      <c r="B50" s="53" t="s">
        <v>44</v>
      </c>
      <c r="C50" s="9">
        <f>1800+150+500+100+300</f>
        <v>2850</v>
      </c>
      <c r="D50" s="9"/>
      <c r="E50" s="9"/>
      <c r="F50" s="9">
        <f t="shared" si="7"/>
        <v>2850</v>
      </c>
    </row>
    <row r="51" spans="2:6" x14ac:dyDescent="0.25">
      <c r="B51" s="53" t="s">
        <v>45</v>
      </c>
      <c r="C51" s="9">
        <f>650+100-200+350</f>
        <v>900</v>
      </c>
      <c r="D51" s="9"/>
      <c r="E51" s="9"/>
      <c r="F51" s="9">
        <f t="shared" si="7"/>
        <v>900</v>
      </c>
    </row>
    <row r="52" spans="2:6" x14ac:dyDescent="0.25">
      <c r="B52" s="53" t="s">
        <v>46</v>
      </c>
      <c r="C52" s="9"/>
      <c r="D52" s="9">
        <v>280</v>
      </c>
      <c r="E52" s="9"/>
      <c r="F52" s="9">
        <f t="shared" si="7"/>
        <v>280</v>
      </c>
    </row>
    <row r="53" spans="2:6" x14ac:dyDescent="0.25">
      <c r="B53" s="53" t="s">
        <v>153</v>
      </c>
      <c r="C53" s="9"/>
      <c r="D53" s="9">
        <f>110+30</f>
        <v>140</v>
      </c>
      <c r="E53" s="9"/>
      <c r="F53" s="9">
        <f t="shared" si="7"/>
        <v>140</v>
      </c>
    </row>
    <row r="54" spans="2:6" x14ac:dyDescent="0.25">
      <c r="B54" s="53" t="s">
        <v>47</v>
      </c>
      <c r="C54" s="9"/>
      <c r="D54" s="9"/>
      <c r="E54" s="9"/>
      <c r="F54" s="9">
        <f t="shared" si="7"/>
        <v>0</v>
      </c>
    </row>
    <row r="55" spans="2:6" x14ac:dyDescent="0.25">
      <c r="B55" s="54" t="s">
        <v>48</v>
      </c>
      <c r="C55" s="9"/>
      <c r="D55" s="9">
        <f>200-20+50</f>
        <v>230</v>
      </c>
      <c r="E55" s="9"/>
      <c r="F55" s="9">
        <f t="shared" si="7"/>
        <v>230</v>
      </c>
    </row>
    <row r="56" spans="2:6" ht="15.75" thickBot="1" x14ac:dyDescent="0.3">
      <c r="B56" s="53" t="s">
        <v>49</v>
      </c>
      <c r="C56" s="55"/>
      <c r="D56" s="9">
        <f>150+100+50+50+20+100</f>
        <v>470</v>
      </c>
      <c r="E56" s="55"/>
      <c r="F56" s="9">
        <f t="shared" si="7"/>
        <v>470</v>
      </c>
    </row>
    <row r="57" spans="2:6" ht="15.75" thickBot="1" x14ac:dyDescent="0.3">
      <c r="B57" s="41" t="s">
        <v>50</v>
      </c>
      <c r="C57" s="42">
        <f>SUM(C58:C66)</f>
        <v>0</v>
      </c>
      <c r="D57" s="42">
        <f t="shared" ref="D57" si="8">SUM(D58:D66)</f>
        <v>1276</v>
      </c>
      <c r="E57" s="42"/>
      <c r="F57" s="44">
        <f>SUM(F58:F66)</f>
        <v>1276</v>
      </c>
    </row>
    <row r="58" spans="2:6" x14ac:dyDescent="0.25">
      <c r="B58" s="4" t="s">
        <v>51</v>
      </c>
      <c r="C58" s="7"/>
      <c r="D58" s="7">
        <v>0</v>
      </c>
      <c r="E58" s="7"/>
      <c r="F58" s="7">
        <f>SUM(C58:E58)</f>
        <v>0</v>
      </c>
    </row>
    <row r="59" spans="2:6" x14ac:dyDescent="0.25">
      <c r="B59" s="8" t="s">
        <v>52</v>
      </c>
      <c r="C59" s="9"/>
      <c r="D59" s="9">
        <v>150</v>
      </c>
      <c r="E59" s="9"/>
      <c r="F59" s="7">
        <f t="shared" ref="F59:F66" si="9">SUM(C59:E59)</f>
        <v>150</v>
      </c>
    </row>
    <row r="60" spans="2:6" x14ac:dyDescent="0.25">
      <c r="B60" s="8" t="s">
        <v>53</v>
      </c>
      <c r="C60" s="9"/>
      <c r="D60" s="9">
        <v>250</v>
      </c>
      <c r="E60" s="9"/>
      <c r="F60" s="7">
        <f t="shared" si="9"/>
        <v>250</v>
      </c>
    </row>
    <row r="61" spans="2:6" x14ac:dyDescent="0.25">
      <c r="B61" s="8" t="s">
        <v>54</v>
      </c>
      <c r="C61" s="9"/>
      <c r="D61" s="9">
        <v>100</v>
      </c>
      <c r="E61" s="9"/>
      <c r="F61" s="7">
        <f t="shared" si="9"/>
        <v>100</v>
      </c>
    </row>
    <row r="62" spans="2:6" x14ac:dyDescent="0.25">
      <c r="B62" s="8" t="s">
        <v>55</v>
      </c>
      <c r="C62" s="9"/>
      <c r="D62" s="9">
        <v>150</v>
      </c>
      <c r="E62" s="9"/>
      <c r="F62" s="7">
        <f t="shared" si="9"/>
        <v>150</v>
      </c>
    </row>
    <row r="63" spans="2:6" x14ac:dyDescent="0.25">
      <c r="B63" s="8" t="s">
        <v>56</v>
      </c>
      <c r="C63" s="9"/>
      <c r="D63" s="9">
        <v>150</v>
      </c>
      <c r="E63" s="9"/>
      <c r="F63" s="7">
        <f t="shared" si="9"/>
        <v>150</v>
      </c>
    </row>
    <row r="64" spans="2:6" x14ac:dyDescent="0.25">
      <c r="B64" s="8" t="s">
        <v>57</v>
      </c>
      <c r="C64" s="9"/>
      <c r="D64" s="9">
        <v>150</v>
      </c>
      <c r="E64" s="9"/>
      <c r="F64" s="7">
        <f t="shared" si="9"/>
        <v>150</v>
      </c>
    </row>
    <row r="65" spans="2:6" x14ac:dyDescent="0.25">
      <c r="B65" s="8" t="s">
        <v>58</v>
      </c>
      <c r="C65" s="9"/>
      <c r="D65" s="9">
        <v>50</v>
      </c>
      <c r="E65" s="9"/>
      <c r="F65" s="7">
        <f t="shared" si="9"/>
        <v>50</v>
      </c>
    </row>
    <row r="66" spans="2:6" ht="15.75" thickBot="1" x14ac:dyDescent="0.3">
      <c r="B66" s="12" t="s">
        <v>59</v>
      </c>
      <c r="C66" s="1"/>
      <c r="D66" s="1">
        <f>76+200</f>
        <v>276</v>
      </c>
      <c r="E66" s="1"/>
      <c r="F66" s="7">
        <f t="shared" si="9"/>
        <v>276</v>
      </c>
    </row>
    <row r="67" spans="2:6" ht="15.75" thickBot="1" x14ac:dyDescent="0.3">
      <c r="B67" s="41" t="s">
        <v>60</v>
      </c>
      <c r="C67" s="42">
        <f>SUM(C68:C91)</f>
        <v>17870</v>
      </c>
      <c r="D67" s="42">
        <f t="shared" ref="D67" si="10">SUM(D68:D91)</f>
        <v>9354</v>
      </c>
      <c r="E67" s="42"/>
      <c r="F67" s="44">
        <f>SUM(F68:F91)</f>
        <v>27224</v>
      </c>
    </row>
    <row r="68" spans="2:6" x14ac:dyDescent="0.25">
      <c r="B68" s="14" t="s">
        <v>165</v>
      </c>
      <c r="C68" s="7"/>
      <c r="D68" s="7">
        <v>300</v>
      </c>
      <c r="E68" s="64"/>
      <c r="F68" s="2">
        <f t="shared" ref="F68:F91" si="11">SUM(C68:E68)</f>
        <v>300</v>
      </c>
    </row>
    <row r="69" spans="2:6" x14ac:dyDescent="0.25">
      <c r="B69" s="14" t="s">
        <v>61</v>
      </c>
      <c r="C69" s="7"/>
      <c r="D69" s="7">
        <f>300+250+50</f>
        <v>600</v>
      </c>
      <c r="E69" s="64"/>
      <c r="F69" s="2">
        <f t="shared" si="11"/>
        <v>600</v>
      </c>
    </row>
    <row r="70" spans="2:6" x14ac:dyDescent="0.25">
      <c r="B70" s="8" t="s">
        <v>62</v>
      </c>
      <c r="C70" s="9"/>
      <c r="D70" s="9">
        <v>480</v>
      </c>
      <c r="E70" s="64"/>
      <c r="F70" s="2">
        <f t="shared" si="11"/>
        <v>480</v>
      </c>
    </row>
    <row r="71" spans="2:6" x14ac:dyDescent="0.25">
      <c r="B71" s="8" t="s">
        <v>63</v>
      </c>
      <c r="C71" s="9">
        <v>3920</v>
      </c>
      <c r="D71" s="9"/>
      <c r="E71" s="64"/>
      <c r="F71" s="2">
        <f t="shared" si="11"/>
        <v>3920</v>
      </c>
    </row>
    <row r="72" spans="2:6" x14ac:dyDescent="0.25">
      <c r="B72" s="8" t="s">
        <v>64</v>
      </c>
      <c r="C72" s="9">
        <v>4500</v>
      </c>
      <c r="D72" s="9"/>
      <c r="E72" s="64"/>
      <c r="F72" s="2">
        <f t="shared" si="11"/>
        <v>4500</v>
      </c>
    </row>
    <row r="73" spans="2:6" x14ac:dyDescent="0.25">
      <c r="B73" s="8" t="s">
        <v>65</v>
      </c>
      <c r="C73" s="9"/>
      <c r="D73" s="66">
        <f>200+100+150</f>
        <v>450</v>
      </c>
      <c r="E73" s="64"/>
      <c r="F73" s="2">
        <f t="shared" si="11"/>
        <v>450</v>
      </c>
    </row>
    <row r="74" spans="2:6" x14ac:dyDescent="0.25">
      <c r="B74" s="8" t="s">
        <v>66</v>
      </c>
      <c r="C74" s="9">
        <v>4700</v>
      </c>
      <c r="D74" s="73">
        <f>450+250</f>
        <v>700</v>
      </c>
      <c r="E74" s="64"/>
      <c r="F74" s="2">
        <f t="shared" si="11"/>
        <v>5400</v>
      </c>
    </row>
    <row r="75" spans="2:6" x14ac:dyDescent="0.25">
      <c r="B75" s="8" t="s">
        <v>67</v>
      </c>
      <c r="C75" s="9"/>
      <c r="D75" s="9">
        <f>400-150-50</f>
        <v>200</v>
      </c>
      <c r="E75" s="64"/>
      <c r="F75" s="2">
        <f t="shared" si="11"/>
        <v>200</v>
      </c>
    </row>
    <row r="76" spans="2:6" x14ac:dyDescent="0.25">
      <c r="B76" s="8" t="s">
        <v>68</v>
      </c>
      <c r="C76" s="9"/>
      <c r="D76" s="9">
        <f>100-100</f>
        <v>0</v>
      </c>
      <c r="E76" s="64"/>
      <c r="F76" s="2">
        <f t="shared" si="11"/>
        <v>0</v>
      </c>
    </row>
    <row r="77" spans="2:6" x14ac:dyDescent="0.25">
      <c r="B77" s="8" t="s">
        <v>69</v>
      </c>
      <c r="C77" s="9"/>
      <c r="D77" s="9">
        <v>100</v>
      </c>
      <c r="E77" s="64"/>
      <c r="F77" s="2">
        <f t="shared" si="11"/>
        <v>100</v>
      </c>
    </row>
    <row r="78" spans="2:6" x14ac:dyDescent="0.25">
      <c r="B78" s="8" t="s">
        <v>70</v>
      </c>
      <c r="C78" s="9"/>
      <c r="D78" s="9">
        <f>100+100</f>
        <v>200</v>
      </c>
      <c r="E78" s="64"/>
      <c r="F78" s="2">
        <f t="shared" si="11"/>
        <v>200</v>
      </c>
    </row>
    <row r="79" spans="2:6" x14ac:dyDescent="0.25">
      <c r="B79" s="8" t="s">
        <v>71</v>
      </c>
      <c r="C79" s="9"/>
      <c r="D79" s="9">
        <v>100</v>
      </c>
      <c r="E79" s="64"/>
      <c r="F79" s="2">
        <f t="shared" si="11"/>
        <v>100</v>
      </c>
    </row>
    <row r="80" spans="2:6" x14ac:dyDescent="0.25">
      <c r="B80" s="8" t="s">
        <v>72</v>
      </c>
      <c r="C80" s="9">
        <f>200-50</f>
        <v>150</v>
      </c>
      <c r="D80" s="9"/>
      <c r="E80" s="64"/>
      <c r="F80" s="2">
        <f t="shared" si="11"/>
        <v>150</v>
      </c>
    </row>
    <row r="81" spans="2:6" x14ac:dyDescent="0.25">
      <c r="B81" s="8" t="s">
        <v>73</v>
      </c>
      <c r="C81" s="9"/>
      <c r="D81" s="9">
        <v>600</v>
      </c>
      <c r="E81" s="64"/>
      <c r="F81" s="2">
        <f t="shared" si="11"/>
        <v>600</v>
      </c>
    </row>
    <row r="82" spans="2:6" x14ac:dyDescent="0.25">
      <c r="B82" s="8" t="s">
        <v>74</v>
      </c>
      <c r="C82" s="9"/>
      <c r="D82" s="9">
        <v>400</v>
      </c>
      <c r="E82" s="64"/>
      <c r="F82" s="2">
        <f t="shared" si="11"/>
        <v>400</v>
      </c>
    </row>
    <row r="83" spans="2:6" x14ac:dyDescent="0.25">
      <c r="B83" s="8" t="s">
        <v>75</v>
      </c>
      <c r="C83" s="9"/>
      <c r="D83" s="9">
        <v>50</v>
      </c>
      <c r="E83" s="64"/>
      <c r="F83" s="2">
        <f t="shared" si="11"/>
        <v>50</v>
      </c>
    </row>
    <row r="84" spans="2:6" x14ac:dyDescent="0.25">
      <c r="B84" s="8" t="s">
        <v>76</v>
      </c>
      <c r="C84" s="16"/>
      <c r="D84" s="9">
        <f>960+50</f>
        <v>1010</v>
      </c>
      <c r="E84" s="64"/>
      <c r="F84" s="2">
        <f t="shared" si="11"/>
        <v>1010</v>
      </c>
    </row>
    <row r="85" spans="2:6" x14ac:dyDescent="0.25">
      <c r="B85" s="15" t="s">
        <v>77</v>
      </c>
      <c r="C85" s="16"/>
      <c r="D85" s="9">
        <v>150</v>
      </c>
      <c r="E85" s="64"/>
      <c r="F85" s="2">
        <f t="shared" si="11"/>
        <v>150</v>
      </c>
    </row>
    <row r="86" spans="2:6" x14ac:dyDescent="0.25">
      <c r="B86" s="6" t="s">
        <v>78</v>
      </c>
      <c r="C86" s="9"/>
      <c r="D86" s="9">
        <v>1500</v>
      </c>
      <c r="E86" s="64"/>
      <c r="F86" s="2">
        <f t="shared" si="11"/>
        <v>1500</v>
      </c>
    </row>
    <row r="87" spans="2:6" x14ac:dyDescent="0.25">
      <c r="B87" s="8" t="s">
        <v>79</v>
      </c>
      <c r="C87" s="9"/>
      <c r="D87" s="9">
        <f>600-250</f>
        <v>350</v>
      </c>
      <c r="E87" s="64"/>
      <c r="F87" s="2">
        <f t="shared" si="11"/>
        <v>350</v>
      </c>
    </row>
    <row r="88" spans="2:6" x14ac:dyDescent="0.25">
      <c r="B88" s="8" t="s">
        <v>80</v>
      </c>
      <c r="C88" s="9">
        <v>4600</v>
      </c>
      <c r="D88" s="9"/>
      <c r="E88" s="64"/>
      <c r="F88" s="2">
        <f t="shared" si="11"/>
        <v>4600</v>
      </c>
    </row>
    <row r="89" spans="2:6" x14ac:dyDescent="0.25">
      <c r="B89" s="8" t="s">
        <v>81</v>
      </c>
      <c r="C89" s="9"/>
      <c r="D89" s="9">
        <v>444</v>
      </c>
      <c r="E89" s="64"/>
      <c r="F89" s="2">
        <f t="shared" si="11"/>
        <v>444</v>
      </c>
    </row>
    <row r="90" spans="2:6" x14ac:dyDescent="0.25">
      <c r="B90" s="8" t="s">
        <v>82</v>
      </c>
      <c r="C90" s="9"/>
      <c r="D90" s="9">
        <v>100</v>
      </c>
      <c r="E90" s="64"/>
      <c r="F90" s="2">
        <f t="shared" si="11"/>
        <v>100</v>
      </c>
    </row>
    <row r="91" spans="2:6" ht="15.75" thickBot="1" x14ac:dyDescent="0.3">
      <c r="B91" s="12" t="s">
        <v>83</v>
      </c>
      <c r="C91" s="1"/>
      <c r="D91" s="1">
        <f>1800-280+100</f>
        <v>1620</v>
      </c>
      <c r="E91" s="37"/>
      <c r="F91" s="2">
        <f t="shared" si="11"/>
        <v>1620</v>
      </c>
    </row>
    <row r="92" spans="2:6" ht="15.75" thickBot="1" x14ac:dyDescent="0.3">
      <c r="B92" s="41" t="s">
        <v>84</v>
      </c>
      <c r="C92" s="45">
        <f>SUM(C93:C98)</f>
        <v>1476</v>
      </c>
      <c r="D92" s="45">
        <f t="shared" ref="D92:E92" si="12">SUM(D93:D98)</f>
        <v>7900</v>
      </c>
      <c r="E92" s="45">
        <f t="shared" si="12"/>
        <v>0</v>
      </c>
      <c r="F92" s="45">
        <f>SUM(F93:F98)</f>
        <v>9376</v>
      </c>
    </row>
    <row r="93" spans="2:6" x14ac:dyDescent="0.25">
      <c r="B93" s="6" t="s">
        <v>85</v>
      </c>
      <c r="C93" s="7">
        <f>500-450</f>
        <v>50</v>
      </c>
      <c r="D93" s="7">
        <v>50</v>
      </c>
      <c r="E93" s="64"/>
      <c r="F93" s="78">
        <f>SUM(C93:E93)</f>
        <v>100</v>
      </c>
    </row>
    <row r="94" spans="2:6" x14ac:dyDescent="0.25">
      <c r="B94" s="8" t="s">
        <v>86</v>
      </c>
      <c r="C94" s="9">
        <f>1000-200-300</f>
        <v>500</v>
      </c>
      <c r="D94" s="9"/>
      <c r="E94" s="64"/>
      <c r="F94" s="9">
        <f t="shared" ref="F94:F98" si="13">SUM(C94:E94)</f>
        <v>500</v>
      </c>
    </row>
    <row r="95" spans="2:6" x14ac:dyDescent="0.25">
      <c r="B95" s="8" t="s">
        <v>157</v>
      </c>
      <c r="C95" s="9"/>
      <c r="D95" s="9">
        <f>2000+800+1000</f>
        <v>3800</v>
      </c>
      <c r="E95" s="64"/>
      <c r="F95" s="9">
        <f t="shared" si="13"/>
        <v>3800</v>
      </c>
    </row>
    <row r="96" spans="2:6" x14ac:dyDescent="0.25">
      <c r="B96" s="8" t="s">
        <v>87</v>
      </c>
      <c r="C96" s="9">
        <f>800+126</f>
        <v>926</v>
      </c>
      <c r="D96" s="9">
        <f>200+300</f>
        <v>500</v>
      </c>
      <c r="E96" s="64"/>
      <c r="F96" s="9">
        <f t="shared" si="13"/>
        <v>1426</v>
      </c>
    </row>
    <row r="97" spans="2:6" x14ac:dyDescent="0.25">
      <c r="B97" s="8" t="s">
        <v>88</v>
      </c>
      <c r="C97" s="9"/>
      <c r="D97" s="9">
        <v>50</v>
      </c>
      <c r="E97" s="64"/>
      <c r="F97" s="9">
        <f t="shared" si="13"/>
        <v>50</v>
      </c>
    </row>
    <row r="98" spans="2:6" ht="15.75" thickBot="1" x14ac:dyDescent="0.3">
      <c r="B98" s="12" t="s">
        <v>89</v>
      </c>
      <c r="C98" s="1"/>
      <c r="D98" s="74">
        <v>3500</v>
      </c>
      <c r="E98" s="37"/>
      <c r="F98" s="2">
        <f t="shared" si="13"/>
        <v>3500</v>
      </c>
    </row>
    <row r="99" spans="2:6" ht="15.75" thickBot="1" x14ac:dyDescent="0.3">
      <c r="B99" s="41" t="s">
        <v>90</v>
      </c>
      <c r="C99" s="45">
        <f>SUM(C100:C123)</f>
        <v>22322</v>
      </c>
      <c r="D99" s="45">
        <f t="shared" ref="D99" si="14">SUM(D100:D123)</f>
        <v>1310</v>
      </c>
      <c r="E99" s="45"/>
      <c r="F99" s="45">
        <f>SUM(F100:F123)</f>
        <v>23632</v>
      </c>
    </row>
    <row r="100" spans="2:6" x14ac:dyDescent="0.25">
      <c r="B100" s="6" t="s">
        <v>91</v>
      </c>
      <c r="C100" s="7">
        <v>200</v>
      </c>
      <c r="D100" s="7"/>
      <c r="E100" s="7"/>
      <c r="F100" s="9">
        <f>SUM(C100:E100)</f>
        <v>200</v>
      </c>
    </row>
    <row r="101" spans="2:6" x14ac:dyDescent="0.25">
      <c r="B101" s="8" t="s">
        <v>92</v>
      </c>
      <c r="C101" s="9">
        <v>200</v>
      </c>
      <c r="D101" s="9"/>
      <c r="E101" s="9"/>
      <c r="F101" s="9">
        <f t="shared" ref="F101:F123" si="15">SUM(C101:E101)</f>
        <v>200</v>
      </c>
    </row>
    <row r="102" spans="2:6" x14ac:dyDescent="0.25">
      <c r="B102" s="8" t="s">
        <v>149</v>
      </c>
      <c r="C102" s="9">
        <v>500</v>
      </c>
      <c r="D102" s="9"/>
      <c r="E102" s="9"/>
      <c r="F102" s="9">
        <f t="shared" si="15"/>
        <v>500</v>
      </c>
    </row>
    <row r="103" spans="2:6" x14ac:dyDescent="0.25">
      <c r="B103" s="8" t="s">
        <v>93</v>
      </c>
      <c r="C103" s="9">
        <f>300-100</f>
        <v>200</v>
      </c>
      <c r="D103" s="9"/>
      <c r="E103" s="9"/>
      <c r="F103" s="9">
        <f t="shared" si="15"/>
        <v>200</v>
      </c>
    </row>
    <row r="104" spans="2:6" x14ac:dyDescent="0.25">
      <c r="B104" s="8" t="s">
        <v>94</v>
      </c>
      <c r="C104" s="9">
        <v>1200</v>
      </c>
      <c r="D104" s="9"/>
      <c r="E104" s="9"/>
      <c r="F104" s="9">
        <f t="shared" si="15"/>
        <v>1200</v>
      </c>
    </row>
    <row r="105" spans="2:6" x14ac:dyDescent="0.25">
      <c r="B105" s="8" t="s">
        <v>95</v>
      </c>
      <c r="C105" s="9">
        <v>400</v>
      </c>
      <c r="D105" s="9"/>
      <c r="E105" s="9"/>
      <c r="F105" s="9">
        <f t="shared" si="15"/>
        <v>400</v>
      </c>
    </row>
    <row r="106" spans="2:6" x14ac:dyDescent="0.25">
      <c r="B106" s="8" t="s">
        <v>96</v>
      </c>
      <c r="C106" s="73">
        <v>1200</v>
      </c>
      <c r="D106" s="9">
        <v>10</v>
      </c>
      <c r="E106" s="9"/>
      <c r="F106" s="9">
        <f t="shared" si="15"/>
        <v>1210</v>
      </c>
    </row>
    <row r="107" spans="2:6" x14ac:dyDescent="0.25">
      <c r="B107" s="8" t="s">
        <v>160</v>
      </c>
      <c r="C107" s="73">
        <v>0</v>
      </c>
      <c r="D107" s="9"/>
      <c r="E107" s="9"/>
      <c r="F107" s="9">
        <f t="shared" si="15"/>
        <v>0</v>
      </c>
    </row>
    <row r="108" spans="2:6" x14ac:dyDescent="0.25">
      <c r="B108" s="8" t="s">
        <v>97</v>
      </c>
      <c r="C108" s="73">
        <v>1200</v>
      </c>
      <c r="D108" s="9"/>
      <c r="E108" s="9"/>
      <c r="F108" s="9">
        <f t="shared" si="15"/>
        <v>1200</v>
      </c>
    </row>
    <row r="109" spans="2:6" x14ac:dyDescent="0.25">
      <c r="B109" s="8" t="s">
        <v>98</v>
      </c>
      <c r="C109" s="9">
        <v>1200</v>
      </c>
      <c r="D109" s="9"/>
      <c r="E109" s="9"/>
      <c r="F109" s="9">
        <f t="shared" si="15"/>
        <v>1200</v>
      </c>
    </row>
    <row r="110" spans="2:6" x14ac:dyDescent="0.25">
      <c r="B110" s="8" t="s">
        <v>99</v>
      </c>
      <c r="C110" s="9">
        <v>5000</v>
      </c>
      <c r="D110" s="9"/>
      <c r="E110" s="9"/>
      <c r="F110" s="9">
        <f t="shared" si="15"/>
        <v>5000</v>
      </c>
    </row>
    <row r="111" spans="2:6" x14ac:dyDescent="0.25">
      <c r="B111" s="8" t="s">
        <v>100</v>
      </c>
      <c r="C111" s="9"/>
      <c r="D111" s="9">
        <v>100</v>
      </c>
      <c r="E111" s="9"/>
      <c r="F111" s="9">
        <f t="shared" si="15"/>
        <v>100</v>
      </c>
    </row>
    <row r="112" spans="2:6" x14ac:dyDescent="0.25">
      <c r="B112" s="8" t="s">
        <v>161</v>
      </c>
      <c r="C112" s="9"/>
      <c r="D112" s="9"/>
      <c r="E112" s="9"/>
      <c r="F112" s="9">
        <f t="shared" si="15"/>
        <v>0</v>
      </c>
    </row>
    <row r="113" spans="2:10" x14ac:dyDescent="0.25">
      <c r="B113" s="8" t="s">
        <v>101</v>
      </c>
      <c r="C113" s="73">
        <v>400</v>
      </c>
      <c r="D113" s="9"/>
      <c r="E113" s="9"/>
      <c r="F113" s="9">
        <f t="shared" si="15"/>
        <v>400</v>
      </c>
    </row>
    <row r="114" spans="2:10" x14ac:dyDescent="0.25">
      <c r="B114" s="8" t="s">
        <v>102</v>
      </c>
      <c r="C114" s="9">
        <f>800-320</f>
        <v>480</v>
      </c>
      <c r="D114" s="9"/>
      <c r="E114" s="9"/>
      <c r="F114" s="9">
        <f t="shared" si="15"/>
        <v>480</v>
      </c>
    </row>
    <row r="115" spans="2:10" x14ac:dyDescent="0.25">
      <c r="B115" s="8" t="s">
        <v>103</v>
      </c>
      <c r="C115" s="73">
        <f>100+204</f>
        <v>304</v>
      </c>
      <c r="D115" s="9"/>
      <c r="E115" s="9"/>
      <c r="F115" s="9">
        <f t="shared" si="15"/>
        <v>304</v>
      </c>
    </row>
    <row r="116" spans="2:10" x14ac:dyDescent="0.25">
      <c r="B116" s="8" t="s">
        <v>104</v>
      </c>
      <c r="C116" s="9">
        <v>600</v>
      </c>
      <c r="D116" s="9"/>
      <c r="E116" s="9"/>
      <c r="F116" s="9">
        <f t="shared" si="15"/>
        <v>600</v>
      </c>
    </row>
    <row r="117" spans="2:10" x14ac:dyDescent="0.25">
      <c r="B117" s="8" t="s">
        <v>105</v>
      </c>
      <c r="C117" s="73">
        <v>100</v>
      </c>
      <c r="D117" s="9"/>
      <c r="E117" s="9"/>
      <c r="F117" s="9">
        <f t="shared" si="15"/>
        <v>100</v>
      </c>
    </row>
    <row r="118" spans="2:10" x14ac:dyDescent="0.25">
      <c r="B118" s="8" t="s">
        <v>106</v>
      </c>
      <c r="C118" s="73">
        <v>1200</v>
      </c>
      <c r="D118" s="9"/>
      <c r="E118" s="9"/>
      <c r="F118" s="9">
        <f t="shared" si="15"/>
        <v>1200</v>
      </c>
    </row>
    <row r="119" spans="2:10" x14ac:dyDescent="0.25">
      <c r="B119" s="8" t="s">
        <v>107</v>
      </c>
      <c r="C119" s="73">
        <f>3800+112+92+22+120-200-140+200</f>
        <v>4006</v>
      </c>
      <c r="D119" s="9"/>
      <c r="E119" s="9"/>
      <c r="F119" s="9">
        <f t="shared" si="15"/>
        <v>4006</v>
      </c>
    </row>
    <row r="120" spans="2:10" x14ac:dyDescent="0.25">
      <c r="B120" s="23" t="s">
        <v>108</v>
      </c>
      <c r="C120" s="9">
        <f>1850+340+258+64+120-250-300-82+220</f>
        <v>2220</v>
      </c>
      <c r="D120" s="9"/>
      <c r="E120" s="9"/>
      <c r="F120" s="9">
        <f t="shared" si="15"/>
        <v>2220</v>
      </c>
    </row>
    <row r="121" spans="2:10" x14ac:dyDescent="0.25">
      <c r="B121" s="8" t="s">
        <v>109</v>
      </c>
      <c r="C121" s="9">
        <f>800+200-200</f>
        <v>800</v>
      </c>
      <c r="D121" s="9"/>
      <c r="E121" s="9"/>
      <c r="F121" s="9">
        <f t="shared" si="15"/>
        <v>800</v>
      </c>
    </row>
    <row r="122" spans="2:10" x14ac:dyDescent="0.25">
      <c r="B122" s="8" t="s">
        <v>110</v>
      </c>
      <c r="C122" s="9"/>
      <c r="D122" s="9">
        <v>1200</v>
      </c>
      <c r="E122" s="9"/>
      <c r="F122" s="9">
        <f t="shared" si="15"/>
        <v>1200</v>
      </c>
      <c r="J122" s="56"/>
    </row>
    <row r="123" spans="2:10" ht="15.75" thickBot="1" x14ac:dyDescent="0.3">
      <c r="B123" s="12" t="s">
        <v>111</v>
      </c>
      <c r="C123" s="36">
        <f>550+100+100+42+120+250-300+50</f>
        <v>912</v>
      </c>
      <c r="D123" s="1"/>
      <c r="E123" s="36"/>
      <c r="F123" s="9">
        <f t="shared" si="15"/>
        <v>912</v>
      </c>
    </row>
    <row r="124" spans="2:10" ht="15.75" thickBot="1" x14ac:dyDescent="0.3">
      <c r="B124" s="41" t="s">
        <v>112</v>
      </c>
      <c r="C124" s="45">
        <f>SUM(C125:C145)</f>
        <v>172315</v>
      </c>
      <c r="D124" s="45">
        <f t="shared" ref="D124" si="16">SUM(D125:D145)</f>
        <v>5480</v>
      </c>
      <c r="E124" s="45"/>
      <c r="F124" s="45">
        <f>SUM(F125:F145)</f>
        <v>177795</v>
      </c>
      <c r="J124" s="56"/>
    </row>
    <row r="125" spans="2:10" x14ac:dyDescent="0.25">
      <c r="B125" s="6" t="s">
        <v>113</v>
      </c>
      <c r="C125" s="7">
        <v>5500</v>
      </c>
      <c r="D125" s="7">
        <v>150</v>
      </c>
      <c r="E125" s="7"/>
      <c r="F125" s="9">
        <f>SUM(C125:E125)</f>
        <v>5650</v>
      </c>
    </row>
    <row r="126" spans="2:10" x14ac:dyDescent="0.25">
      <c r="B126" s="8" t="s">
        <v>114</v>
      </c>
      <c r="C126" s="73">
        <f>150-50+20+80</f>
        <v>200</v>
      </c>
      <c r="D126" s="9"/>
      <c r="E126" s="9"/>
      <c r="F126" s="9">
        <f t="shared" ref="F126:F145" si="17">SUM(C126:E126)</f>
        <v>200</v>
      </c>
    </row>
    <row r="127" spans="2:10" x14ac:dyDescent="0.25">
      <c r="B127" s="8" t="s">
        <v>162</v>
      </c>
      <c r="C127" s="73">
        <v>238</v>
      </c>
      <c r="D127" s="9"/>
      <c r="E127" s="9"/>
      <c r="F127" s="9">
        <f t="shared" si="17"/>
        <v>238</v>
      </c>
    </row>
    <row r="128" spans="2:10" x14ac:dyDescent="0.25">
      <c r="B128" s="8" t="s">
        <v>115</v>
      </c>
      <c r="C128" s="73">
        <v>180</v>
      </c>
      <c r="D128" s="9"/>
      <c r="E128" s="9"/>
      <c r="F128" s="9">
        <f t="shared" si="17"/>
        <v>180</v>
      </c>
    </row>
    <row r="129" spans="2:6" x14ac:dyDescent="0.25">
      <c r="B129" s="8" t="s">
        <v>116</v>
      </c>
      <c r="C129" s="9"/>
      <c r="D129" s="9">
        <v>30</v>
      </c>
      <c r="E129" s="9"/>
      <c r="F129" s="9">
        <f t="shared" si="17"/>
        <v>30</v>
      </c>
    </row>
    <row r="130" spans="2:6" x14ac:dyDescent="0.25">
      <c r="B130" s="8" t="s">
        <v>117</v>
      </c>
      <c r="C130" s="9"/>
      <c r="D130" s="9">
        <v>200</v>
      </c>
      <c r="E130" s="9"/>
      <c r="F130" s="9">
        <f t="shared" si="17"/>
        <v>200</v>
      </c>
    </row>
    <row r="131" spans="2:6" x14ac:dyDescent="0.25">
      <c r="B131" s="8" t="s">
        <v>118</v>
      </c>
      <c r="C131" s="9"/>
      <c r="D131" s="9">
        <v>500</v>
      </c>
      <c r="E131" s="9"/>
      <c r="F131" s="9">
        <f t="shared" si="17"/>
        <v>500</v>
      </c>
    </row>
    <row r="132" spans="2:6" x14ac:dyDescent="0.25">
      <c r="B132" s="8" t="s">
        <v>119</v>
      </c>
      <c r="C132" s="73">
        <f>8500+1500+72</f>
        <v>10072</v>
      </c>
      <c r="D132" s="9"/>
      <c r="E132" s="9"/>
      <c r="F132" s="9">
        <f t="shared" si="17"/>
        <v>10072</v>
      </c>
    </row>
    <row r="133" spans="2:6" x14ac:dyDescent="0.25">
      <c r="B133" s="8" t="s">
        <v>163</v>
      </c>
      <c r="C133" s="9">
        <v>450</v>
      </c>
      <c r="D133" s="9"/>
      <c r="E133" s="9"/>
      <c r="F133" s="9">
        <f t="shared" si="17"/>
        <v>450</v>
      </c>
    </row>
    <row r="134" spans="2:6" x14ac:dyDescent="0.25">
      <c r="B134" s="8" t="s">
        <v>120</v>
      </c>
      <c r="C134" s="9">
        <v>700</v>
      </c>
      <c r="D134" s="9"/>
      <c r="E134" s="9"/>
      <c r="F134" s="9">
        <f t="shared" si="17"/>
        <v>700</v>
      </c>
    </row>
    <row r="135" spans="2:6" x14ac:dyDescent="0.25">
      <c r="B135" s="23" t="s">
        <v>121</v>
      </c>
      <c r="C135" s="73">
        <f>21800+4500+478+1413+50</f>
        <v>28241</v>
      </c>
      <c r="D135" s="9">
        <f>1000-200</f>
        <v>800</v>
      </c>
      <c r="E135" s="9"/>
      <c r="F135" s="9">
        <f t="shared" si="17"/>
        <v>29041</v>
      </c>
    </row>
    <row r="136" spans="2:6" x14ac:dyDescent="0.25">
      <c r="B136" s="8" t="s">
        <v>122</v>
      </c>
      <c r="C136" s="66">
        <f>49444+4204</f>
        <v>53648</v>
      </c>
      <c r="D136" s="9">
        <f>1000-200</f>
        <v>800</v>
      </c>
      <c r="E136" s="66"/>
      <c r="F136" s="9">
        <f t="shared" si="17"/>
        <v>54448</v>
      </c>
    </row>
    <row r="137" spans="2:6" x14ac:dyDescent="0.25">
      <c r="B137" s="8" t="s">
        <v>158</v>
      </c>
      <c r="C137" s="66">
        <f>25836+2500+27800+684+7241</f>
        <v>64061</v>
      </c>
      <c r="D137" s="9">
        <v>500</v>
      </c>
      <c r="E137" s="9"/>
      <c r="F137" s="9">
        <f t="shared" si="17"/>
        <v>64561</v>
      </c>
    </row>
    <row r="138" spans="2:6" x14ac:dyDescent="0.25">
      <c r="B138" s="8" t="s">
        <v>123</v>
      </c>
      <c r="C138" s="90">
        <f>630+2</f>
        <v>632</v>
      </c>
      <c r="D138" s="90">
        <f>2600-1000+200-300</f>
        <v>1500</v>
      </c>
      <c r="E138" s="13"/>
      <c r="F138" s="9">
        <f t="shared" si="17"/>
        <v>2132</v>
      </c>
    </row>
    <row r="139" spans="2:6" x14ac:dyDescent="0.25">
      <c r="B139" s="8" t="s">
        <v>124</v>
      </c>
      <c r="C139" s="9">
        <f>2600+36+1582-400-700+460</f>
        <v>3578</v>
      </c>
      <c r="D139" s="9"/>
      <c r="E139" s="9"/>
      <c r="F139" s="9">
        <f t="shared" si="17"/>
        <v>3578</v>
      </c>
    </row>
    <row r="140" spans="2:6" x14ac:dyDescent="0.25">
      <c r="B140" s="8" t="s">
        <v>125</v>
      </c>
      <c r="C140" s="9">
        <f>1100+400+300</f>
        <v>1800</v>
      </c>
      <c r="D140" s="9"/>
      <c r="E140" s="9"/>
      <c r="F140" s="9">
        <f t="shared" si="17"/>
        <v>1800</v>
      </c>
    </row>
    <row r="141" spans="2:6" x14ac:dyDescent="0.25">
      <c r="B141" s="8" t="s">
        <v>164</v>
      </c>
      <c r="C141" s="9">
        <f>200-100+100</f>
        <v>200</v>
      </c>
      <c r="D141" s="9"/>
      <c r="E141" s="9"/>
      <c r="F141" s="9">
        <f t="shared" si="17"/>
        <v>200</v>
      </c>
    </row>
    <row r="142" spans="2:6" x14ac:dyDescent="0.25">
      <c r="B142" s="8" t="s">
        <v>126</v>
      </c>
      <c r="C142" s="9">
        <v>500</v>
      </c>
      <c r="D142" s="9">
        <v>100</v>
      </c>
      <c r="E142" s="9"/>
      <c r="F142" s="9">
        <f t="shared" si="17"/>
        <v>600</v>
      </c>
    </row>
    <row r="143" spans="2:6" x14ac:dyDescent="0.25">
      <c r="B143" s="8" t="s">
        <v>127</v>
      </c>
      <c r="C143" s="9">
        <f>1200+615+100+100</f>
        <v>2015</v>
      </c>
      <c r="D143" s="9"/>
      <c r="E143" s="9"/>
      <c r="F143" s="9">
        <f t="shared" si="17"/>
        <v>2015</v>
      </c>
    </row>
    <row r="144" spans="2:6" x14ac:dyDescent="0.25">
      <c r="B144" s="8" t="s">
        <v>128</v>
      </c>
      <c r="C144" s="66">
        <f>400-100</f>
        <v>300</v>
      </c>
      <c r="D144" s="9">
        <v>100</v>
      </c>
      <c r="E144" s="9"/>
      <c r="F144" s="9">
        <f>SUM(C144:E144)</f>
        <v>400</v>
      </c>
    </row>
    <row r="145" spans="2:6" ht="15.75" thickBot="1" x14ac:dyDescent="0.3">
      <c r="B145" s="17" t="s">
        <v>129</v>
      </c>
      <c r="C145" s="1"/>
      <c r="D145" s="1">
        <f>600+200</f>
        <v>800</v>
      </c>
      <c r="E145" s="1"/>
      <c r="F145" s="9">
        <f t="shared" si="17"/>
        <v>800</v>
      </c>
    </row>
    <row r="146" spans="2:6" ht="15.75" thickBot="1" x14ac:dyDescent="0.3">
      <c r="B146" s="46" t="s">
        <v>152</v>
      </c>
      <c r="C146" s="43"/>
      <c r="D146" s="85">
        <v>2200</v>
      </c>
      <c r="E146" s="79"/>
      <c r="F146" s="72">
        <f>SUM(C146:E146)</f>
        <v>2200</v>
      </c>
    </row>
    <row r="147" spans="2:6" ht="15.75" thickBot="1" x14ac:dyDescent="0.3">
      <c r="B147" s="52" t="s">
        <v>130</v>
      </c>
      <c r="C147" s="49"/>
      <c r="D147" s="80">
        <v>1500</v>
      </c>
      <c r="E147" s="81"/>
      <c r="F147" s="72">
        <f t="shared" ref="F147" si="18">SUM(C147:E147)</f>
        <v>1500</v>
      </c>
    </row>
    <row r="148" spans="2:6" ht="15.75" thickBot="1" x14ac:dyDescent="0.3">
      <c r="B148" s="47" t="s">
        <v>151</v>
      </c>
      <c r="C148" s="65">
        <f>SUM(C149:C152)</f>
        <v>2000</v>
      </c>
      <c r="D148" s="83">
        <f t="shared" ref="D148" si="19">SUM(D149:D152)</f>
        <v>600</v>
      </c>
      <c r="E148" s="84"/>
      <c r="F148" s="72">
        <f>SUM(F149:F152)</f>
        <v>2600</v>
      </c>
    </row>
    <row r="149" spans="2:6" x14ac:dyDescent="0.25">
      <c r="B149" s="6" t="s">
        <v>131</v>
      </c>
      <c r="C149" s="7">
        <v>1800</v>
      </c>
      <c r="D149" s="7"/>
      <c r="E149" s="7"/>
      <c r="F149" s="9">
        <f>SUM(C149:D149)</f>
        <v>1800</v>
      </c>
    </row>
    <row r="150" spans="2:6" x14ac:dyDescent="0.25">
      <c r="B150" s="8" t="s">
        <v>132</v>
      </c>
      <c r="C150" s="9"/>
      <c r="D150" s="9">
        <v>100</v>
      </c>
      <c r="E150" s="9"/>
      <c r="F150" s="9">
        <f>SUM(C150:D150)</f>
        <v>100</v>
      </c>
    </row>
    <row r="151" spans="2:6" x14ac:dyDescent="0.25">
      <c r="B151" s="12" t="s">
        <v>133</v>
      </c>
      <c r="C151" s="9">
        <v>200</v>
      </c>
      <c r="D151" s="9">
        <f>300+100</f>
        <v>400</v>
      </c>
      <c r="E151" s="9"/>
      <c r="F151" s="9">
        <f t="shared" ref="F151:F152" si="20">SUM(C151:D151)</f>
        <v>600</v>
      </c>
    </row>
    <row r="152" spans="2:6" ht="15.75" thickBot="1" x14ac:dyDescent="0.3">
      <c r="B152" s="18" t="s">
        <v>134</v>
      </c>
      <c r="C152" s="1"/>
      <c r="D152" s="1">
        <v>100</v>
      </c>
      <c r="E152" s="1"/>
      <c r="F152" s="9">
        <f t="shared" si="20"/>
        <v>100</v>
      </c>
    </row>
    <row r="153" spans="2:6" ht="15.75" thickBot="1" x14ac:dyDescent="0.3">
      <c r="B153" s="50" t="s">
        <v>150</v>
      </c>
      <c r="C153" s="42"/>
      <c r="D153" s="43">
        <f>1000-100</f>
        <v>900</v>
      </c>
      <c r="E153" s="82"/>
      <c r="F153" s="44">
        <f>SUM(C153:D153)</f>
        <v>900</v>
      </c>
    </row>
    <row r="154" spans="2:6" ht="15.75" thickBot="1" x14ac:dyDescent="0.3">
      <c r="B154" s="41" t="s">
        <v>135</v>
      </c>
      <c r="C154" s="42"/>
      <c r="D154" s="43">
        <f>200+400+100</f>
        <v>700</v>
      </c>
      <c r="E154" s="82"/>
      <c r="F154" s="44">
        <f>SUM(C154:D154)</f>
        <v>700</v>
      </c>
    </row>
    <row r="155" spans="2:6" ht="16.5" thickBot="1" x14ac:dyDescent="0.3">
      <c r="B155" s="29" t="s">
        <v>136</v>
      </c>
      <c r="C155" s="30">
        <f>SUM(C19,C20,C21,C29,C32,C57,C67,C92,C99,C124,C146,C147,C148,C153,C154,C22)</f>
        <v>2640503.04</v>
      </c>
      <c r="D155" s="30">
        <f t="shared" ref="D155:E155" si="21">SUM(D19,D20,D21,D29,D32,D57,D67,D92,D99,D124,D146,D147,D148,D153,D154,D22)</f>
        <v>67000</v>
      </c>
      <c r="E155" s="30">
        <f t="shared" si="21"/>
        <v>0</v>
      </c>
      <c r="F155" s="30">
        <f>SUM(F19,F20,F21,F22,F29,F32,F57,F67,F92,F99,F124,F146,F147,F148,F153,F154)</f>
        <v>2707503.04</v>
      </c>
    </row>
    <row r="156" spans="2:6" x14ac:dyDescent="0.25">
      <c r="B156" s="19" t="s">
        <v>166</v>
      </c>
      <c r="C156" s="20"/>
      <c r="D156" s="9"/>
      <c r="E156" s="77"/>
      <c r="F156" s="2">
        <f>SUM(C156:E156)</f>
        <v>0</v>
      </c>
    </row>
    <row r="157" spans="2:6" x14ac:dyDescent="0.25">
      <c r="B157" s="19" t="s">
        <v>137</v>
      </c>
      <c r="C157" s="20"/>
      <c r="D157" s="9"/>
      <c r="E157" s="77">
        <v>2797</v>
      </c>
      <c r="F157" s="2">
        <f t="shared" ref="F157:F170" si="22">SUM(C157:E157)</f>
        <v>2797</v>
      </c>
    </row>
    <row r="158" spans="2:6" x14ac:dyDescent="0.25">
      <c r="B158" s="19" t="s">
        <v>156</v>
      </c>
      <c r="C158" s="20"/>
      <c r="D158" s="9"/>
      <c r="E158" s="77"/>
      <c r="F158" s="2">
        <f t="shared" si="22"/>
        <v>0</v>
      </c>
    </row>
    <row r="159" spans="2:6" x14ac:dyDescent="0.25">
      <c r="B159" s="21" t="s">
        <v>138</v>
      </c>
      <c r="C159" s="20"/>
      <c r="D159" s="9"/>
      <c r="E159" s="77"/>
      <c r="F159" s="2">
        <f t="shared" si="22"/>
        <v>0</v>
      </c>
    </row>
    <row r="160" spans="2:6" x14ac:dyDescent="0.25">
      <c r="B160" s="21" t="s">
        <v>175</v>
      </c>
      <c r="C160" s="20"/>
      <c r="D160" s="9"/>
      <c r="E160" s="77"/>
      <c r="F160" s="2">
        <f t="shared" si="22"/>
        <v>0</v>
      </c>
    </row>
    <row r="161" spans="1:10" x14ac:dyDescent="0.25">
      <c r="B161" s="21" t="s">
        <v>139</v>
      </c>
      <c r="C161" s="20"/>
      <c r="D161" s="9"/>
      <c r="E161" s="77"/>
      <c r="F161" s="2">
        <f t="shared" si="22"/>
        <v>0</v>
      </c>
    </row>
    <row r="162" spans="1:10" x14ac:dyDescent="0.25">
      <c r="B162" s="21" t="s">
        <v>140</v>
      </c>
      <c r="C162" s="20"/>
      <c r="D162" s="9">
        <v>300</v>
      </c>
      <c r="E162" s="77"/>
      <c r="F162" s="2">
        <f t="shared" si="22"/>
        <v>300</v>
      </c>
    </row>
    <row r="163" spans="1:10" x14ac:dyDescent="0.25">
      <c r="B163" s="19" t="s">
        <v>141</v>
      </c>
      <c r="C163" s="20"/>
      <c r="D163" s="9">
        <v>600</v>
      </c>
      <c r="E163" s="77"/>
      <c r="F163" s="2">
        <f t="shared" si="22"/>
        <v>600</v>
      </c>
    </row>
    <row r="164" spans="1:10" x14ac:dyDescent="0.25">
      <c r="B164" s="21" t="s">
        <v>142</v>
      </c>
      <c r="C164" s="20"/>
      <c r="D164" s="9">
        <v>200</v>
      </c>
      <c r="E164" s="77"/>
      <c r="F164" s="2">
        <f t="shared" si="22"/>
        <v>200</v>
      </c>
    </row>
    <row r="165" spans="1:10" x14ac:dyDescent="0.25">
      <c r="B165" s="21" t="s">
        <v>176</v>
      </c>
      <c r="C165" s="20"/>
      <c r="D165" s="9">
        <v>50</v>
      </c>
      <c r="E165" s="77"/>
      <c r="F165" s="2">
        <f t="shared" si="22"/>
        <v>50</v>
      </c>
    </row>
    <row r="166" spans="1:10" x14ac:dyDescent="0.25">
      <c r="B166" s="19" t="s">
        <v>143</v>
      </c>
      <c r="C166" s="20"/>
      <c r="D166" s="9">
        <f>350+200</f>
        <v>550</v>
      </c>
      <c r="E166" s="77"/>
      <c r="F166" s="2">
        <f t="shared" si="22"/>
        <v>550</v>
      </c>
    </row>
    <row r="167" spans="1:10" x14ac:dyDescent="0.25">
      <c r="B167" s="22" t="s">
        <v>144</v>
      </c>
      <c r="C167" s="20"/>
      <c r="D167" s="9"/>
      <c r="E167" s="77"/>
      <c r="F167" s="2">
        <f t="shared" si="22"/>
        <v>0</v>
      </c>
    </row>
    <row r="168" spans="1:10" x14ac:dyDescent="0.25">
      <c r="B168" s="19" t="s">
        <v>145</v>
      </c>
      <c r="C168" s="20"/>
      <c r="D168" s="9">
        <v>200</v>
      </c>
      <c r="E168" s="77"/>
      <c r="F168" s="2">
        <f t="shared" si="22"/>
        <v>200</v>
      </c>
    </row>
    <row r="169" spans="1:10" x14ac:dyDescent="0.25">
      <c r="B169" s="19" t="s">
        <v>168</v>
      </c>
      <c r="C169" s="20"/>
      <c r="D169" s="9">
        <v>450</v>
      </c>
      <c r="E169" s="77"/>
      <c r="F169" s="2">
        <f t="shared" si="22"/>
        <v>450</v>
      </c>
    </row>
    <row r="170" spans="1:10" ht="15.75" thickBot="1" x14ac:dyDescent="0.3">
      <c r="B170" s="19" t="s">
        <v>146</v>
      </c>
      <c r="C170" s="20"/>
      <c r="D170" s="9">
        <v>50</v>
      </c>
      <c r="E170" s="77"/>
      <c r="F170" s="2">
        <f t="shared" si="22"/>
        <v>50</v>
      </c>
    </row>
    <row r="171" spans="1:10" ht="13.5" customHeight="1" thickBot="1" x14ac:dyDescent="0.3">
      <c r="B171" s="29" t="s">
        <v>147</v>
      </c>
      <c r="C171" s="30">
        <f t="shared" ref="C171:F171" si="23">SUM(C156:C170)</f>
        <v>0</v>
      </c>
      <c r="D171" s="30">
        <f t="shared" si="23"/>
        <v>2400</v>
      </c>
      <c r="E171" s="30">
        <f t="shared" si="23"/>
        <v>2797</v>
      </c>
      <c r="F171" s="30">
        <f t="shared" si="23"/>
        <v>5197</v>
      </c>
    </row>
    <row r="172" spans="1:10" ht="16.5" customHeight="1" thickBot="1" x14ac:dyDescent="0.3">
      <c r="B172" s="34" t="s">
        <v>148</v>
      </c>
      <c r="C172" s="35">
        <f t="shared" ref="C172:F172" si="24">C155+C171</f>
        <v>2640503.04</v>
      </c>
      <c r="D172" s="35">
        <f t="shared" si="24"/>
        <v>69400</v>
      </c>
      <c r="E172" s="35">
        <f t="shared" si="24"/>
        <v>2797</v>
      </c>
      <c r="F172" s="35">
        <f t="shared" si="24"/>
        <v>2712700.04</v>
      </c>
      <c r="J172" s="56"/>
    </row>
    <row r="173" spans="1:10" ht="3" hidden="1" customHeight="1" x14ac:dyDescent="0.25">
      <c r="C173" s="56"/>
      <c r="D173" s="56"/>
      <c r="E173" s="56"/>
      <c r="F173" s="56"/>
    </row>
    <row r="174" spans="1:10" ht="143.25" customHeight="1" x14ac:dyDescent="0.25">
      <c r="A174" s="89"/>
      <c r="B174" s="146" t="s">
        <v>183</v>
      </c>
      <c r="C174" s="146"/>
      <c r="D174" s="146"/>
      <c r="E174" s="146"/>
      <c r="F174" s="146"/>
    </row>
    <row r="175" spans="1:10" ht="21" customHeight="1" x14ac:dyDescent="0.25">
      <c r="D175" s="147" t="s">
        <v>179</v>
      </c>
      <c r="E175" s="147"/>
      <c r="F175" s="147"/>
    </row>
    <row r="176" spans="1:10" ht="1.5" customHeight="1" x14ac:dyDescent="0.25">
      <c r="D176" s="147" t="s">
        <v>180</v>
      </c>
      <c r="E176" s="147"/>
      <c r="F176" s="147"/>
    </row>
    <row r="177" spans="3:6" hidden="1" x14ac:dyDescent="0.25">
      <c r="C177" s="56"/>
      <c r="D177" s="147"/>
      <c r="E177" s="147"/>
      <c r="F177" s="147"/>
    </row>
  </sheetData>
  <mergeCells count="5">
    <mergeCell ref="B2:F2"/>
    <mergeCell ref="B3:F3"/>
    <mergeCell ref="B174:F174"/>
    <mergeCell ref="D175:F175"/>
    <mergeCell ref="D176:F177"/>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topLeftCell="A136" zoomScale="110" zoomScaleNormal="110" workbookViewId="0">
      <selection activeCell="B5" sqref="B5:B172"/>
    </sheetView>
  </sheetViews>
  <sheetFormatPr defaultRowHeight="15" x14ac:dyDescent="0.25"/>
  <cols>
    <col min="1" max="1" width="54.7109375" customWidth="1"/>
    <col min="2" max="2" width="13.5703125" customWidth="1"/>
    <col min="3" max="3" width="12.7109375" customWidth="1"/>
  </cols>
  <sheetData>
    <row r="2" spans="1:3" x14ac:dyDescent="0.25">
      <c r="A2" s="148" t="s">
        <v>0</v>
      </c>
      <c r="B2" s="148"/>
      <c r="C2" s="148"/>
    </row>
    <row r="3" spans="1:3" x14ac:dyDescent="0.25">
      <c r="A3" s="149" t="s">
        <v>205</v>
      </c>
      <c r="B3" s="149"/>
      <c r="C3" s="149"/>
    </row>
    <row r="4" spans="1:3" ht="15.75" thickBot="1" x14ac:dyDescent="0.3">
      <c r="A4" s="59"/>
      <c r="B4" s="5" t="s">
        <v>1</v>
      </c>
      <c r="C4" s="116"/>
    </row>
    <row r="5" spans="1:3" ht="43.5" thickBot="1" x14ac:dyDescent="0.3">
      <c r="A5" s="24" t="s">
        <v>2</v>
      </c>
      <c r="B5" s="25" t="s">
        <v>5</v>
      </c>
      <c r="C5" s="57" t="s">
        <v>154</v>
      </c>
    </row>
    <row r="6" spans="1:3" ht="15.75" x14ac:dyDescent="0.25">
      <c r="A6" s="26" t="s">
        <v>6</v>
      </c>
      <c r="B6" s="28"/>
      <c r="C6" s="28"/>
    </row>
    <row r="7" spans="1:3" x14ac:dyDescent="0.25">
      <c r="A7" s="6" t="s">
        <v>9</v>
      </c>
      <c r="B7" s="2">
        <v>2681262</v>
      </c>
      <c r="C7" s="67" t="s">
        <v>7</v>
      </c>
    </row>
    <row r="8" spans="1:3" x14ac:dyDescent="0.25">
      <c r="A8" s="8" t="s">
        <v>10</v>
      </c>
      <c r="B8" s="2">
        <v>30703</v>
      </c>
      <c r="C8" s="67" t="s">
        <v>7</v>
      </c>
    </row>
    <row r="9" spans="1:3" x14ac:dyDescent="0.25">
      <c r="A9" s="8" t="s">
        <v>195</v>
      </c>
      <c r="B9" s="2">
        <v>60525</v>
      </c>
      <c r="C9" s="67" t="s">
        <v>8</v>
      </c>
    </row>
    <row r="10" spans="1:3" x14ac:dyDescent="0.25">
      <c r="A10" s="8" t="s">
        <v>169</v>
      </c>
      <c r="B10" s="2">
        <v>11177</v>
      </c>
      <c r="C10" s="67" t="s">
        <v>155</v>
      </c>
    </row>
    <row r="11" spans="1:3" x14ac:dyDescent="0.25">
      <c r="A11" s="8" t="s">
        <v>171</v>
      </c>
      <c r="B11" s="2">
        <v>85440</v>
      </c>
      <c r="C11" s="67" t="s">
        <v>202</v>
      </c>
    </row>
    <row r="12" spans="1:3" x14ac:dyDescent="0.25">
      <c r="A12" s="8" t="s">
        <v>196</v>
      </c>
      <c r="B12" s="2">
        <v>500</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2880953</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2275474</v>
      </c>
      <c r="C19" s="63" t="s">
        <v>188</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5">
        <v>44724</v>
      </c>
      <c r="C22" s="69" t="s">
        <v>155</v>
      </c>
    </row>
    <row r="23" spans="1:3" x14ac:dyDescent="0.25">
      <c r="A23" s="110" t="s">
        <v>177</v>
      </c>
      <c r="B23" s="7">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1500</v>
      </c>
      <c r="C27" s="60" t="s">
        <v>155</v>
      </c>
    </row>
    <row r="28" spans="1:3" ht="15.75" thickBot="1" x14ac:dyDescent="0.3">
      <c r="A28" s="8" t="s">
        <v>167</v>
      </c>
      <c r="B28" s="7">
        <v>24170</v>
      </c>
      <c r="C28" s="60" t="s">
        <v>155</v>
      </c>
    </row>
    <row r="29" spans="1:3" ht="15.75" thickBot="1" x14ac:dyDescent="0.3">
      <c r="A29" s="41" t="s">
        <v>24</v>
      </c>
      <c r="B29" s="45">
        <v>30015</v>
      </c>
      <c r="C29" s="60"/>
    </row>
    <row r="30" spans="1:3" x14ac:dyDescent="0.25">
      <c r="A30" s="10" t="s">
        <v>25</v>
      </c>
      <c r="B30" s="88">
        <v>29705</v>
      </c>
      <c r="C30" s="60" t="s">
        <v>155</v>
      </c>
    </row>
    <row r="31" spans="1:3" x14ac:dyDescent="0.25">
      <c r="A31" s="53" t="s">
        <v>178</v>
      </c>
      <c r="B31" s="9">
        <v>310</v>
      </c>
      <c r="C31" s="70" t="s">
        <v>8</v>
      </c>
    </row>
    <row r="32" spans="1:3" ht="15.75" thickBot="1" x14ac:dyDescent="0.3">
      <c r="A32" s="48" t="s">
        <v>26</v>
      </c>
      <c r="B32" s="86">
        <v>107322</v>
      </c>
      <c r="C32" s="70"/>
    </row>
    <row r="33" spans="1:3" x14ac:dyDescent="0.25">
      <c r="A33" s="71" t="s">
        <v>27</v>
      </c>
      <c r="B33" s="9">
        <v>2300</v>
      </c>
      <c r="C33" s="60" t="s">
        <v>155</v>
      </c>
    </row>
    <row r="34" spans="1:3" x14ac:dyDescent="0.25">
      <c r="A34" s="53" t="s">
        <v>28</v>
      </c>
      <c r="B34" s="9">
        <v>28142</v>
      </c>
      <c r="C34" s="60" t="s">
        <v>155</v>
      </c>
    </row>
    <row r="35" spans="1:3" x14ac:dyDescent="0.25">
      <c r="A35" s="53" t="s">
        <v>29</v>
      </c>
      <c r="B35" s="9">
        <v>14000</v>
      </c>
      <c r="C35" s="60" t="s">
        <v>155</v>
      </c>
    </row>
    <row r="36" spans="1:3" x14ac:dyDescent="0.25">
      <c r="A36" s="53" t="s">
        <v>30</v>
      </c>
      <c r="B36" s="9">
        <v>100</v>
      </c>
      <c r="C36" s="69" t="s">
        <v>7</v>
      </c>
    </row>
    <row r="37" spans="1:3" x14ac:dyDescent="0.25">
      <c r="A37" s="53" t="s">
        <v>31</v>
      </c>
      <c r="B37" s="9">
        <v>25500</v>
      </c>
      <c r="C37" s="69" t="s">
        <v>155</v>
      </c>
    </row>
    <row r="38" spans="1:3" x14ac:dyDescent="0.25">
      <c r="A38" s="53" t="s">
        <v>32</v>
      </c>
      <c r="B38" s="9">
        <v>6460</v>
      </c>
      <c r="C38" s="60" t="s">
        <v>7</v>
      </c>
    </row>
    <row r="39" spans="1:3" x14ac:dyDescent="0.25">
      <c r="A39" s="53" t="s">
        <v>33</v>
      </c>
      <c r="B39" s="9">
        <v>450</v>
      </c>
      <c r="C39" s="60" t="s">
        <v>7</v>
      </c>
    </row>
    <row r="40" spans="1:3" x14ac:dyDescent="0.25">
      <c r="A40" s="53" t="s">
        <v>34</v>
      </c>
      <c r="B40" s="9">
        <v>500</v>
      </c>
      <c r="C40" s="60" t="s">
        <v>7</v>
      </c>
    </row>
    <row r="41" spans="1:3" x14ac:dyDescent="0.25">
      <c r="A41" s="53" t="s">
        <v>35</v>
      </c>
      <c r="B41" s="9">
        <v>5200</v>
      </c>
      <c r="C41" s="60" t="s">
        <v>7</v>
      </c>
    </row>
    <row r="42" spans="1:3" x14ac:dyDescent="0.25">
      <c r="A42" s="53" t="s">
        <v>36</v>
      </c>
      <c r="B42" s="9">
        <v>7200</v>
      </c>
      <c r="C42" s="60" t="s">
        <v>155</v>
      </c>
    </row>
    <row r="43" spans="1:3" x14ac:dyDescent="0.25">
      <c r="A43" s="53" t="s">
        <v>37</v>
      </c>
      <c r="B43" s="9">
        <v>5600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650</v>
      </c>
      <c r="C47" s="60" t="s">
        <v>155</v>
      </c>
    </row>
    <row r="48" spans="1:3" x14ac:dyDescent="0.25">
      <c r="A48" s="53" t="s">
        <v>42</v>
      </c>
      <c r="B48" s="9">
        <v>350</v>
      </c>
      <c r="C48" s="60" t="s">
        <v>7</v>
      </c>
    </row>
    <row r="49" spans="1:3" x14ac:dyDescent="0.25">
      <c r="A49" s="53" t="s">
        <v>43</v>
      </c>
      <c r="B49" s="9">
        <v>550</v>
      </c>
      <c r="C49" s="60" t="s">
        <v>7</v>
      </c>
    </row>
    <row r="50" spans="1:3" x14ac:dyDescent="0.25">
      <c r="A50" s="53" t="s">
        <v>44</v>
      </c>
      <c r="B50" s="9">
        <v>3800</v>
      </c>
      <c r="C50" s="60" t="s">
        <v>7</v>
      </c>
    </row>
    <row r="51" spans="1:3" x14ac:dyDescent="0.25">
      <c r="A51" s="53" t="s">
        <v>45</v>
      </c>
      <c r="B51" s="9">
        <v>1200</v>
      </c>
      <c r="C51" s="60" t="s">
        <v>7</v>
      </c>
    </row>
    <row r="52" spans="1:3" x14ac:dyDescent="0.25">
      <c r="A52" s="53" t="s">
        <v>46</v>
      </c>
      <c r="B52" s="9">
        <v>280</v>
      </c>
      <c r="C52" s="60" t="s">
        <v>8</v>
      </c>
    </row>
    <row r="53" spans="1:3" x14ac:dyDescent="0.25">
      <c r="A53" s="53" t="s">
        <v>153</v>
      </c>
      <c r="B53" s="9">
        <v>140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1376</v>
      </c>
      <c r="C57" s="70"/>
    </row>
    <row r="58" spans="1:3" x14ac:dyDescent="0.25">
      <c r="A58" s="4" t="s">
        <v>51</v>
      </c>
      <c r="B58" s="7">
        <v>0</v>
      </c>
      <c r="C58" s="60"/>
    </row>
    <row r="59" spans="1:3" x14ac:dyDescent="0.25">
      <c r="A59" s="8" t="s">
        <v>52</v>
      </c>
      <c r="B59" s="7">
        <v>100</v>
      </c>
      <c r="C59" s="60" t="s">
        <v>8</v>
      </c>
    </row>
    <row r="60" spans="1:3" x14ac:dyDescent="0.25">
      <c r="A60" s="8" t="s">
        <v>53</v>
      </c>
      <c r="B60" s="7">
        <v>600</v>
      </c>
      <c r="C60" s="60" t="s">
        <v>8</v>
      </c>
    </row>
    <row r="61" spans="1:3" x14ac:dyDescent="0.25">
      <c r="A61" s="8" t="s">
        <v>54</v>
      </c>
      <c r="B61" s="7">
        <v>50</v>
      </c>
      <c r="C61" s="60" t="s">
        <v>8</v>
      </c>
    </row>
    <row r="62" spans="1:3" x14ac:dyDescent="0.25">
      <c r="A62" s="8" t="s">
        <v>55</v>
      </c>
      <c r="B62" s="7">
        <v>100</v>
      </c>
      <c r="C62" s="60" t="s">
        <v>8</v>
      </c>
    </row>
    <row r="63" spans="1:3" x14ac:dyDescent="0.25">
      <c r="A63" s="8" t="s">
        <v>56</v>
      </c>
      <c r="B63" s="7">
        <v>100</v>
      </c>
      <c r="C63" s="60" t="s">
        <v>8</v>
      </c>
    </row>
    <row r="64" spans="1:3" x14ac:dyDescent="0.25">
      <c r="A64" s="8" t="s">
        <v>57</v>
      </c>
      <c r="B64" s="7">
        <v>100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31564</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7500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100</v>
      </c>
      <c r="C77" s="60" t="s">
        <v>8</v>
      </c>
    </row>
    <row r="78" spans="1:3" x14ac:dyDescent="0.25">
      <c r="A78" s="8" t="s">
        <v>70</v>
      </c>
      <c r="B78" s="2">
        <v>200</v>
      </c>
      <c r="C78" s="60" t="s">
        <v>8</v>
      </c>
    </row>
    <row r="79" spans="1:3" x14ac:dyDescent="0.25">
      <c r="A79" s="8" t="s">
        <v>71</v>
      </c>
      <c r="B79" s="2">
        <v>100</v>
      </c>
      <c r="C79" s="60" t="s">
        <v>8</v>
      </c>
    </row>
    <row r="80" spans="1:3" x14ac:dyDescent="0.25">
      <c r="A80" s="8" t="s">
        <v>72</v>
      </c>
      <c r="B80" s="2">
        <v>150</v>
      </c>
      <c r="C80" s="60" t="s">
        <v>7</v>
      </c>
    </row>
    <row r="81" spans="1:3" x14ac:dyDescent="0.25">
      <c r="A81" s="8" t="s">
        <v>73</v>
      </c>
      <c r="B81" s="2">
        <v>660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1000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5200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1680</v>
      </c>
      <c r="C91" s="60" t="s">
        <v>159</v>
      </c>
    </row>
    <row r="92" spans="1:3" ht="15.75" thickBot="1" x14ac:dyDescent="0.3">
      <c r="A92" s="41" t="s">
        <v>84</v>
      </c>
      <c r="B92" s="45">
        <v>9550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3800</v>
      </c>
      <c r="C95" s="60" t="s">
        <v>8</v>
      </c>
    </row>
    <row r="96" spans="1:3" x14ac:dyDescent="0.25">
      <c r="A96" s="8" t="s">
        <v>87</v>
      </c>
      <c r="B96" s="9">
        <v>2000</v>
      </c>
      <c r="C96" s="60" t="s">
        <v>155</v>
      </c>
    </row>
    <row r="97" spans="1:3" x14ac:dyDescent="0.25">
      <c r="A97" s="8" t="s">
        <v>88</v>
      </c>
      <c r="B97" s="9">
        <v>50</v>
      </c>
      <c r="C97" s="60" t="s">
        <v>8</v>
      </c>
    </row>
    <row r="98" spans="1:3" ht="15.75" thickBot="1" x14ac:dyDescent="0.3">
      <c r="A98" s="12" t="s">
        <v>89</v>
      </c>
      <c r="B98" s="2">
        <v>3000</v>
      </c>
      <c r="C98" s="60" t="s">
        <v>8</v>
      </c>
    </row>
    <row r="99" spans="1:3" ht="15.75" thickBot="1" x14ac:dyDescent="0.3">
      <c r="A99" s="41" t="s">
        <v>90</v>
      </c>
      <c r="B99" s="45">
        <v>27620</v>
      </c>
      <c r="C99" s="60"/>
    </row>
    <row r="100" spans="1:3" x14ac:dyDescent="0.25">
      <c r="A100" s="6" t="s">
        <v>91</v>
      </c>
      <c r="B100" s="9">
        <v>800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200</v>
      </c>
      <c r="C103" s="60" t="s">
        <v>7</v>
      </c>
    </row>
    <row r="104" spans="1:3" x14ac:dyDescent="0.25">
      <c r="A104" s="8" t="s">
        <v>94</v>
      </c>
      <c r="B104" s="9">
        <v>800</v>
      </c>
      <c r="C104" s="60" t="s">
        <v>7</v>
      </c>
    </row>
    <row r="105" spans="1:3" x14ac:dyDescent="0.25">
      <c r="A105" s="8" t="s">
        <v>95</v>
      </c>
      <c r="B105" s="9">
        <v>300</v>
      </c>
      <c r="C105" s="60" t="s">
        <v>7</v>
      </c>
    </row>
    <row r="106" spans="1:3" x14ac:dyDescent="0.25">
      <c r="A106" s="8" t="s">
        <v>96</v>
      </c>
      <c r="B106" s="9">
        <v>1260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1200</v>
      </c>
      <c r="C109" s="60" t="s">
        <v>7</v>
      </c>
    </row>
    <row r="110" spans="1:3" x14ac:dyDescent="0.25">
      <c r="A110" s="8" t="s">
        <v>99</v>
      </c>
      <c r="B110" s="9">
        <v>6000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900</v>
      </c>
      <c r="C113" s="60" t="s">
        <v>7</v>
      </c>
    </row>
    <row r="114" spans="1:3" x14ac:dyDescent="0.25">
      <c r="A114" s="8" t="s">
        <v>102</v>
      </c>
      <c r="B114" s="9">
        <v>1200</v>
      </c>
      <c r="C114" s="60" t="s">
        <v>7</v>
      </c>
    </row>
    <row r="115" spans="1:3" x14ac:dyDescent="0.25">
      <c r="A115" s="8" t="s">
        <v>103</v>
      </c>
      <c r="B115" s="9">
        <v>100</v>
      </c>
      <c r="C115" s="60" t="s">
        <v>7</v>
      </c>
    </row>
    <row r="116" spans="1:3" x14ac:dyDescent="0.25">
      <c r="A116" s="8" t="s">
        <v>104</v>
      </c>
      <c r="B116" s="9">
        <v>1050</v>
      </c>
      <c r="C116" s="60" t="s">
        <v>7</v>
      </c>
    </row>
    <row r="117" spans="1:3" x14ac:dyDescent="0.25">
      <c r="A117" s="8" t="s">
        <v>105</v>
      </c>
      <c r="B117" s="9">
        <v>200</v>
      </c>
      <c r="C117" s="60" t="s">
        <v>7</v>
      </c>
    </row>
    <row r="118" spans="1:3" x14ac:dyDescent="0.25">
      <c r="A118" s="8" t="s">
        <v>106</v>
      </c>
      <c r="B118" s="9">
        <v>1200</v>
      </c>
      <c r="C118" s="60" t="s">
        <v>7</v>
      </c>
    </row>
    <row r="119" spans="1:3" x14ac:dyDescent="0.25">
      <c r="A119" s="8" t="s">
        <v>107</v>
      </c>
      <c r="B119" s="9">
        <v>4500</v>
      </c>
      <c r="C119" s="60" t="s">
        <v>203</v>
      </c>
    </row>
    <row r="120" spans="1:3" x14ac:dyDescent="0.25">
      <c r="A120" s="23" t="s">
        <v>108</v>
      </c>
      <c r="B120" s="9">
        <v>2120</v>
      </c>
      <c r="C120" s="60" t="s">
        <v>7</v>
      </c>
    </row>
    <row r="121" spans="1:3" x14ac:dyDescent="0.25">
      <c r="A121" s="8" t="s">
        <v>109</v>
      </c>
      <c r="B121" s="9">
        <v>900</v>
      </c>
      <c r="C121" s="60" t="s">
        <v>7</v>
      </c>
    </row>
    <row r="122" spans="1:3" x14ac:dyDescent="0.25">
      <c r="A122" s="8" t="s">
        <v>110</v>
      </c>
      <c r="B122" s="9">
        <v>1200</v>
      </c>
      <c r="C122" s="60" t="s">
        <v>8</v>
      </c>
    </row>
    <row r="123" spans="1:3" ht="15.75" thickBot="1" x14ac:dyDescent="0.3">
      <c r="A123" s="12" t="s">
        <v>111</v>
      </c>
      <c r="B123" s="9">
        <v>900</v>
      </c>
      <c r="C123" s="60" t="s">
        <v>7</v>
      </c>
    </row>
    <row r="124" spans="1:3" ht="15.75" thickBot="1" x14ac:dyDescent="0.3">
      <c r="A124" s="41" t="s">
        <v>112</v>
      </c>
      <c r="B124" s="45">
        <v>194602</v>
      </c>
      <c r="C124" s="60"/>
    </row>
    <row r="125" spans="1:3" x14ac:dyDescent="0.25">
      <c r="A125" s="6" t="s">
        <v>113</v>
      </c>
      <c r="B125" s="9">
        <v>5850</v>
      </c>
      <c r="C125" s="60" t="s">
        <v>155</v>
      </c>
    </row>
    <row r="126" spans="1:3" x14ac:dyDescent="0.25">
      <c r="A126" s="8" t="s">
        <v>114</v>
      </c>
      <c r="B126" s="9">
        <v>350</v>
      </c>
      <c r="C126" s="60" t="s">
        <v>7</v>
      </c>
    </row>
    <row r="127" spans="1:3" x14ac:dyDescent="0.25">
      <c r="A127" s="8" t="s">
        <v>162</v>
      </c>
      <c r="B127" s="9">
        <v>100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12037</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33300</v>
      </c>
      <c r="C135" s="60" t="s">
        <v>155</v>
      </c>
    </row>
    <row r="136" spans="1:3" x14ac:dyDescent="0.25">
      <c r="A136" s="8" t="s">
        <v>122</v>
      </c>
      <c r="B136" s="9">
        <v>62340</v>
      </c>
      <c r="C136" s="60" t="s">
        <v>155</v>
      </c>
    </row>
    <row r="137" spans="1:3" x14ac:dyDescent="0.25">
      <c r="A137" s="8" t="s">
        <v>158</v>
      </c>
      <c r="B137" s="9">
        <v>65777</v>
      </c>
      <c r="C137" s="60" t="s">
        <v>7</v>
      </c>
    </row>
    <row r="138" spans="1:3" x14ac:dyDescent="0.25">
      <c r="A138" s="8" t="s">
        <v>123</v>
      </c>
      <c r="B138" s="9">
        <v>2200</v>
      </c>
      <c r="C138" s="60" t="s">
        <v>155</v>
      </c>
    </row>
    <row r="139" spans="1:3" x14ac:dyDescent="0.25">
      <c r="A139" s="8" t="s">
        <v>124</v>
      </c>
      <c r="B139" s="9">
        <v>3100</v>
      </c>
      <c r="C139" s="60" t="s">
        <v>7</v>
      </c>
    </row>
    <row r="140" spans="1:3" x14ac:dyDescent="0.25">
      <c r="A140" s="8" t="s">
        <v>125</v>
      </c>
      <c r="B140" s="9">
        <v>1800</v>
      </c>
      <c r="C140" s="60" t="s">
        <v>7</v>
      </c>
    </row>
    <row r="141" spans="1:3" x14ac:dyDescent="0.25">
      <c r="A141" s="8" t="s">
        <v>164</v>
      </c>
      <c r="B141" s="9">
        <v>128</v>
      </c>
      <c r="C141" s="60" t="s">
        <v>7</v>
      </c>
    </row>
    <row r="142" spans="1:3" x14ac:dyDescent="0.25">
      <c r="A142" s="8" t="s">
        <v>126</v>
      </c>
      <c r="B142" s="9">
        <v>1300</v>
      </c>
      <c r="C142" s="60" t="s">
        <v>155</v>
      </c>
    </row>
    <row r="143" spans="1:3" x14ac:dyDescent="0.25">
      <c r="A143" s="8" t="s">
        <v>127</v>
      </c>
      <c r="B143" s="9">
        <v>1600</v>
      </c>
      <c r="C143" s="60" t="s">
        <v>7</v>
      </c>
    </row>
    <row r="144" spans="1:3" x14ac:dyDescent="0.25">
      <c r="A144" s="8" t="s">
        <v>128</v>
      </c>
      <c r="B144" s="9">
        <v>400</v>
      </c>
      <c r="C144" s="60" t="s">
        <v>155</v>
      </c>
    </row>
    <row r="145" spans="1:3" ht="15.75" thickBot="1" x14ac:dyDescent="0.3">
      <c r="A145" s="17" t="s">
        <v>129</v>
      </c>
      <c r="B145" s="9">
        <v>800</v>
      </c>
      <c r="C145" s="60" t="s">
        <v>159</v>
      </c>
    </row>
    <row r="146" spans="1:3" ht="15.75" thickBot="1" x14ac:dyDescent="0.3">
      <c r="A146" s="47" t="s">
        <v>152</v>
      </c>
      <c r="B146" s="72">
        <v>1985</v>
      </c>
      <c r="C146" s="60" t="s">
        <v>8</v>
      </c>
    </row>
    <row r="147" spans="1:3" ht="15.75" thickBot="1" x14ac:dyDescent="0.3">
      <c r="A147" s="48" t="s">
        <v>130</v>
      </c>
      <c r="B147" s="72">
        <v>3000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700</v>
      </c>
      <c r="C154" s="60" t="s">
        <v>8</v>
      </c>
    </row>
    <row r="155" spans="1:3" ht="16.5" thickBot="1" x14ac:dyDescent="0.3">
      <c r="A155" s="29" t="s">
        <v>136</v>
      </c>
      <c r="B155" s="30">
        <v>2790031</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35127</v>
      </c>
      <c r="C163" s="60" t="s">
        <v>159</v>
      </c>
    </row>
    <row r="164" spans="1:3" x14ac:dyDescent="0.25">
      <c r="A164" s="21" t="s">
        <v>142</v>
      </c>
      <c r="B164" s="2">
        <v>2449</v>
      </c>
      <c r="C164" s="60" t="s">
        <v>204</v>
      </c>
    </row>
    <row r="165" spans="1:3" x14ac:dyDescent="0.25">
      <c r="A165" s="21" t="s">
        <v>176</v>
      </c>
      <c r="B165" s="2">
        <v>15</v>
      </c>
      <c r="C165" s="60" t="s">
        <v>8</v>
      </c>
    </row>
    <row r="166" spans="1:3" x14ac:dyDescent="0.25">
      <c r="A166" s="19" t="s">
        <v>143</v>
      </c>
      <c r="B166" s="2">
        <v>550</v>
      </c>
      <c r="C166" s="60" t="s">
        <v>8</v>
      </c>
    </row>
    <row r="167" spans="1:3" x14ac:dyDescent="0.25">
      <c r="A167" s="22" t="s">
        <v>144</v>
      </c>
      <c r="B167" s="2">
        <v>22700</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90922</v>
      </c>
      <c r="C171" s="61"/>
    </row>
    <row r="172" spans="1:3" ht="16.5" thickBot="1" x14ac:dyDescent="0.3">
      <c r="A172" s="34" t="s">
        <v>148</v>
      </c>
      <c r="B172" s="35">
        <v>2880953</v>
      </c>
      <c r="C172" s="62"/>
    </row>
    <row r="173" spans="1:3" x14ac:dyDescent="0.25">
      <c r="B173" s="147" t="s">
        <v>179</v>
      </c>
      <c r="C173" s="147"/>
    </row>
    <row r="174" spans="1:3" x14ac:dyDescent="0.25">
      <c r="B174" s="147" t="s">
        <v>181</v>
      </c>
      <c r="C174" s="147"/>
    </row>
    <row r="175" spans="1:3" x14ac:dyDescent="0.25">
      <c r="B175" s="147"/>
      <c r="C175" s="147"/>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opLeftCell="B160" zoomScale="120" zoomScaleNormal="120" workbookViewId="0">
      <selection activeCell="B173" sqref="B173:H173"/>
    </sheetView>
  </sheetViews>
  <sheetFormatPr defaultRowHeight="15" x14ac:dyDescent="0.2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44" t="s">
        <v>0</v>
      </c>
      <c r="C2" s="144"/>
      <c r="D2" s="144"/>
      <c r="E2" s="144"/>
      <c r="F2" s="144"/>
      <c r="G2" s="144"/>
      <c r="H2" s="144"/>
    </row>
    <row r="3" spans="2:11" x14ac:dyDescent="0.25">
      <c r="B3" s="145" t="s">
        <v>207</v>
      </c>
      <c r="C3" s="145"/>
      <c r="D3" s="145"/>
      <c r="E3" s="145"/>
      <c r="F3" s="145"/>
      <c r="G3" s="145"/>
      <c r="H3" s="145"/>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75">
        <f>2155096+335323+29000+C22+C29+70000+2965+13592+3162</f>
        <v>2681262</v>
      </c>
      <c r="D7" s="109"/>
      <c r="E7" s="7"/>
      <c r="F7" s="64"/>
      <c r="G7" s="64"/>
      <c r="H7" s="2">
        <f>SUM(C7:G7)</f>
        <v>2681262</v>
      </c>
    </row>
    <row r="8" spans="2:11" x14ac:dyDescent="0.25">
      <c r="B8" s="8" t="s">
        <v>10</v>
      </c>
      <c r="C8" s="73">
        <f>28311+2392</f>
        <v>30703</v>
      </c>
      <c r="D8" s="73"/>
      <c r="E8" s="9"/>
      <c r="F8" s="64"/>
      <c r="G8" s="64"/>
      <c r="H8" s="2">
        <f t="shared" ref="H8:H13" si="0">SUM(C8:G8)</f>
        <v>30703</v>
      </c>
    </row>
    <row r="9" spans="2:11" x14ac:dyDescent="0.25">
      <c r="B9" s="8" t="s">
        <v>195</v>
      </c>
      <c r="C9" s="9"/>
      <c r="D9" s="9"/>
      <c r="E9" s="9">
        <f>54750+2000+2500+530+750+670-3000-930-1070+550+1775+2000</f>
        <v>60525</v>
      </c>
      <c r="F9" s="64"/>
      <c r="G9" s="64"/>
      <c r="H9" s="2">
        <f t="shared" si="0"/>
        <v>60525</v>
      </c>
    </row>
    <row r="10" spans="2:11" x14ac:dyDescent="0.25">
      <c r="B10" s="8" t="s">
        <v>169</v>
      </c>
      <c r="C10" s="9">
        <v>2527</v>
      </c>
      <c r="D10" s="9"/>
      <c r="E10" s="9">
        <f>4500+3000+250+900</f>
        <v>8650</v>
      </c>
      <c r="F10" s="64"/>
      <c r="G10" s="64"/>
      <c r="H10" s="2">
        <f t="shared" si="0"/>
        <v>11177</v>
      </c>
    </row>
    <row r="11" spans="2:11" x14ac:dyDescent="0.25">
      <c r="B11" s="8" t="s">
        <v>170</v>
      </c>
      <c r="C11" s="9"/>
      <c r="D11" s="9">
        <f>80011+700</f>
        <v>80711</v>
      </c>
      <c r="E11" s="9"/>
      <c r="F11" s="106">
        <f>729+4000+1870</f>
        <v>6599</v>
      </c>
      <c r="G11" s="64"/>
      <c r="H11" s="2">
        <f>SUM(C11:G11)</f>
        <v>87310</v>
      </c>
    </row>
    <row r="12" spans="2:11" x14ac:dyDescent="0.25">
      <c r="B12" s="8" t="s">
        <v>196</v>
      </c>
      <c r="C12" s="9"/>
      <c r="D12" s="9"/>
      <c r="E12" s="9"/>
      <c r="F12" s="64">
        <v>500</v>
      </c>
      <c r="G12" s="64"/>
      <c r="H12" s="2">
        <f t="shared" si="0"/>
        <v>500</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2717103</v>
      </c>
      <c r="D15" s="30">
        <f>SUM(D7:D14)</f>
        <v>80711</v>
      </c>
      <c r="E15" s="30">
        <f>SUM(E7:E14)</f>
        <v>74825</v>
      </c>
      <c r="F15" s="30">
        <f t="shared" ref="F15:G15" si="1">SUM(F7:F14)</f>
        <v>7099</v>
      </c>
      <c r="G15" s="30">
        <f t="shared" si="1"/>
        <v>3085</v>
      </c>
      <c r="H15" s="30">
        <f>SUM(H7:H14)</f>
        <v>2882823</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45">
        <v>80</v>
      </c>
      <c r="E19" s="45">
        <f>22550-550</f>
        <v>22000</v>
      </c>
      <c r="F19" s="45"/>
      <c r="G19" s="45">
        <v>288</v>
      </c>
      <c r="H19" s="45">
        <f>SUM(C19:G19)</f>
        <v>2275474</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45">
        <f>1800+100</f>
        <v>1900</v>
      </c>
      <c r="F21" s="45"/>
      <c r="G21" s="45"/>
      <c r="H21" s="45">
        <f t="shared" si="2"/>
        <v>1900</v>
      </c>
    </row>
    <row r="22" spans="2:10" ht="15.75" thickBot="1" x14ac:dyDescent="0.3">
      <c r="B22" s="41" t="s">
        <v>19</v>
      </c>
      <c r="C22" s="42">
        <f>+C24+C25+C26+C27+C28+C23</f>
        <v>42624</v>
      </c>
      <c r="D22" s="42"/>
      <c r="E22" s="42">
        <f t="shared" ref="E22:G22" si="3">+E24+E25+E26+E27+E28</f>
        <v>2100</v>
      </c>
      <c r="F22" s="42"/>
      <c r="G22" s="42">
        <f t="shared" si="3"/>
        <v>0</v>
      </c>
      <c r="H22" s="42">
        <f>+H23+H24+H25+H26+H27+H28</f>
        <v>44724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
        <f>750+150+500</f>
        <v>1400</v>
      </c>
      <c r="D27" s="1"/>
      <c r="E27" s="1">
        <v>100</v>
      </c>
      <c r="F27" s="1"/>
      <c r="G27" s="9"/>
      <c r="H27" s="7">
        <f t="shared" si="4"/>
        <v>1500</v>
      </c>
    </row>
    <row r="28" spans="2:10" ht="15.75" thickBot="1" x14ac:dyDescent="0.3">
      <c r="B28" s="8" t="s">
        <v>167</v>
      </c>
      <c r="C28" s="74">
        <f>5600+17774-104</f>
        <v>23270</v>
      </c>
      <c r="D28" s="74"/>
      <c r="E28" s="74">
        <v>900</v>
      </c>
      <c r="F28" s="90"/>
      <c r="G28" s="13"/>
      <c r="H28" s="7">
        <f t="shared" si="4"/>
        <v>24170</v>
      </c>
    </row>
    <row r="29" spans="2:10" ht="15.75" thickBot="1" x14ac:dyDescent="0.3">
      <c r="B29" s="41" t="s">
        <v>24</v>
      </c>
      <c r="C29" s="45">
        <f t="shared" ref="C29" si="5">+C30</f>
        <v>29500</v>
      </c>
      <c r="D29" s="45"/>
      <c r="E29" s="45">
        <f>+E30+E31</f>
        <v>515</v>
      </c>
      <c r="F29" s="101"/>
      <c r="G29" s="87"/>
      <c r="H29" s="45">
        <f>H30+H31</f>
        <v>30015</v>
      </c>
    </row>
    <row r="30" spans="2:10" x14ac:dyDescent="0.25">
      <c r="B30" s="10" t="s">
        <v>25</v>
      </c>
      <c r="C30" s="13">
        <v>29500</v>
      </c>
      <c r="D30" s="37"/>
      <c r="E30" s="98">
        <f>200+5</f>
        <v>205</v>
      </c>
      <c r="F30" s="37"/>
      <c r="G30" s="9"/>
      <c r="H30" s="88">
        <f>SUM(C30:E30)</f>
        <v>29705</v>
      </c>
    </row>
    <row r="31" spans="2:10" x14ac:dyDescent="0.25">
      <c r="B31" s="53" t="s">
        <v>178</v>
      </c>
      <c r="C31" s="9"/>
      <c r="D31" s="9"/>
      <c r="E31" s="9">
        <v>310</v>
      </c>
      <c r="F31" s="9"/>
      <c r="G31" s="9"/>
      <c r="H31" s="9">
        <f>SUM(C31:E31)</f>
        <v>310</v>
      </c>
    </row>
    <row r="32" spans="2:10" ht="15.75" thickBot="1" x14ac:dyDescent="0.3">
      <c r="B32" s="48" t="s">
        <v>26</v>
      </c>
      <c r="C32" s="86">
        <f>SUM(C33:C56)</f>
        <v>98382</v>
      </c>
      <c r="D32" s="86"/>
      <c r="E32" s="86">
        <f t="shared" ref="E32" si="6">SUM(E33:E56)</f>
        <v>9940</v>
      </c>
      <c r="F32" s="86"/>
      <c r="G32" s="86"/>
      <c r="H32" s="86">
        <f>SUM(H33:H56)</f>
        <v>108322</v>
      </c>
    </row>
    <row r="33" spans="2:11" x14ac:dyDescent="0.25">
      <c r="B33" s="53" t="s">
        <v>27</v>
      </c>
      <c r="C33" s="9">
        <v>2000</v>
      </c>
      <c r="D33" s="9"/>
      <c r="E33" s="9">
        <f>200+100</f>
        <v>300</v>
      </c>
      <c r="F33" s="9"/>
      <c r="G33" s="9"/>
      <c r="H33" s="9">
        <f>SUM(C33:G33)</f>
        <v>2300</v>
      </c>
    </row>
    <row r="34" spans="2:11" x14ac:dyDescent="0.25">
      <c r="B34" s="53" t="s">
        <v>28</v>
      </c>
      <c r="C34" s="73">
        <f>27392</f>
        <v>27392</v>
      </c>
      <c r="D34" s="73"/>
      <c r="E34" s="73">
        <f>500+250</f>
        <v>750</v>
      </c>
      <c r="F34" s="66"/>
      <c r="G34" s="9"/>
      <c r="H34" s="9">
        <f t="shared" ref="H34:H56" si="7">SUM(C34:G34)</f>
        <v>28142</v>
      </c>
    </row>
    <row r="35" spans="2:11" x14ac:dyDescent="0.25">
      <c r="B35" s="53" t="s">
        <v>29</v>
      </c>
      <c r="C35" s="104">
        <f>11000+1500+1000</f>
        <v>13500</v>
      </c>
      <c r="D35" s="73"/>
      <c r="E35" s="73">
        <f>100+1400</f>
        <v>1500</v>
      </c>
      <c r="F35" s="66"/>
      <c r="G35" s="9"/>
      <c r="H35" s="9">
        <f t="shared" si="7"/>
        <v>15000</v>
      </c>
    </row>
    <row r="36" spans="2:11" x14ac:dyDescent="0.25">
      <c r="B36" s="53" t="s">
        <v>30</v>
      </c>
      <c r="C36" s="73">
        <v>100</v>
      </c>
      <c r="D36" s="73"/>
      <c r="E36" s="9"/>
      <c r="F36" s="9"/>
      <c r="G36" s="9"/>
      <c r="H36" s="9">
        <f t="shared" si="7"/>
        <v>100</v>
      </c>
    </row>
    <row r="37" spans="2:11" x14ac:dyDescent="0.25">
      <c r="B37" s="53" t="s">
        <v>31</v>
      </c>
      <c r="C37" s="73">
        <f>21000+2000</f>
        <v>23000</v>
      </c>
      <c r="D37" s="73"/>
      <c r="E37" s="66">
        <v>2500</v>
      </c>
      <c r="F37" s="66"/>
      <c r="G37" s="9"/>
      <c r="H37" s="9">
        <f t="shared" si="7"/>
        <v>25500</v>
      </c>
    </row>
    <row r="38" spans="2:11" x14ac:dyDescent="0.25">
      <c r="B38" s="53" t="s">
        <v>32</v>
      </c>
      <c r="C38" s="73">
        <f>6540-200</f>
        <v>6340</v>
      </c>
      <c r="D38" s="73"/>
      <c r="E38" s="73">
        <v>120</v>
      </c>
      <c r="F38" s="9"/>
      <c r="G38" s="9"/>
      <c r="H38" s="9">
        <f t="shared" si="7"/>
        <v>6460</v>
      </c>
      <c r="K38" s="56"/>
    </row>
    <row r="39" spans="2:11" x14ac:dyDescent="0.25">
      <c r="B39" s="53" t="s">
        <v>33</v>
      </c>
      <c r="C39" s="9">
        <f>500-50</f>
        <v>450</v>
      </c>
      <c r="D39" s="9"/>
      <c r="E39" s="9"/>
      <c r="F39" s="9"/>
      <c r="G39" s="9"/>
      <c r="H39" s="9">
        <f t="shared" si="7"/>
        <v>450</v>
      </c>
    </row>
    <row r="40" spans="2:11" x14ac:dyDescent="0.25">
      <c r="B40" s="53" t="s">
        <v>34</v>
      </c>
      <c r="C40" s="9">
        <f>550-50</f>
        <v>500</v>
      </c>
      <c r="D40" s="9"/>
      <c r="E40" s="9"/>
      <c r="F40" s="9"/>
      <c r="G40" s="9"/>
      <c r="H40" s="9">
        <f t="shared" si="7"/>
        <v>500</v>
      </c>
    </row>
    <row r="41" spans="2:11" x14ac:dyDescent="0.25">
      <c r="B41" s="53" t="s">
        <v>35</v>
      </c>
      <c r="C41" s="9">
        <f>6000-800</f>
        <v>5200</v>
      </c>
      <c r="D41" s="9"/>
      <c r="E41" s="9"/>
      <c r="F41" s="9"/>
      <c r="G41" s="9"/>
      <c r="H41" s="9">
        <f t="shared" si="7"/>
        <v>5200</v>
      </c>
    </row>
    <row r="42" spans="2:11" x14ac:dyDescent="0.25">
      <c r="B42" s="53" t="s">
        <v>36</v>
      </c>
      <c r="C42" s="9">
        <v>3600</v>
      </c>
      <c r="D42" s="9"/>
      <c r="E42" s="9">
        <v>3600</v>
      </c>
      <c r="F42" s="9"/>
      <c r="G42" s="9"/>
      <c r="H42" s="9">
        <f t="shared" si="7"/>
        <v>7200</v>
      </c>
    </row>
    <row r="43" spans="2:11" x14ac:dyDescent="0.25">
      <c r="B43" s="53" t="s">
        <v>37</v>
      </c>
      <c r="C43" s="9">
        <f>6600-1000</f>
        <v>5600</v>
      </c>
      <c r="D43" s="9"/>
      <c r="E43" s="9"/>
      <c r="F43" s="9"/>
      <c r="G43" s="9"/>
      <c r="H43" s="9">
        <f t="shared" si="7"/>
        <v>5600</v>
      </c>
    </row>
    <row r="44" spans="2:11" x14ac:dyDescent="0.25">
      <c r="B44" s="53" t="s">
        <v>38</v>
      </c>
      <c r="C44" s="9">
        <v>2700</v>
      </c>
      <c r="D44" s="9"/>
      <c r="E44" s="9"/>
      <c r="F44" s="9"/>
      <c r="G44" s="9"/>
      <c r="H44" s="9">
        <f t="shared" si="7"/>
        <v>2700</v>
      </c>
    </row>
    <row r="45" spans="2:11" x14ac:dyDescent="0.25">
      <c r="B45" s="53" t="s">
        <v>39</v>
      </c>
      <c r="C45" s="9">
        <v>1500</v>
      </c>
      <c r="D45" s="9"/>
      <c r="E45" s="9"/>
      <c r="F45" s="9"/>
      <c r="G45" s="9"/>
      <c r="H45" s="9">
        <f t="shared" si="7"/>
        <v>1500</v>
      </c>
    </row>
    <row r="46" spans="2:11" x14ac:dyDescent="0.25">
      <c r="B46" s="53" t="s">
        <v>40</v>
      </c>
      <c r="C46" s="9"/>
      <c r="D46" s="9"/>
      <c r="E46" s="9"/>
      <c r="F46" s="9"/>
      <c r="G46" s="9"/>
      <c r="H46" s="9">
        <f t="shared" si="7"/>
        <v>0</v>
      </c>
    </row>
    <row r="47" spans="2:11" x14ac:dyDescent="0.25">
      <c r="B47" s="53" t="s">
        <v>41</v>
      </c>
      <c r="C47" s="9">
        <v>600</v>
      </c>
      <c r="D47" s="9"/>
      <c r="E47" s="9">
        <v>50</v>
      </c>
      <c r="F47" s="9"/>
      <c r="G47" s="9"/>
      <c r="H47" s="9">
        <f t="shared" si="7"/>
        <v>650</v>
      </c>
    </row>
    <row r="48" spans="2:11" x14ac:dyDescent="0.25">
      <c r="B48" s="53" t="s">
        <v>42</v>
      </c>
      <c r="C48" s="9">
        <v>350</v>
      </c>
      <c r="D48" s="9"/>
      <c r="E48" s="9"/>
      <c r="F48" s="9"/>
      <c r="G48" s="9"/>
      <c r="H48" s="9">
        <f t="shared" si="7"/>
        <v>350</v>
      </c>
    </row>
    <row r="49" spans="2:8" x14ac:dyDescent="0.25">
      <c r="B49" s="53" t="s">
        <v>43</v>
      </c>
      <c r="C49" s="9">
        <v>550</v>
      </c>
      <c r="D49" s="9"/>
      <c r="E49" s="9"/>
      <c r="F49" s="9"/>
      <c r="G49" s="9"/>
      <c r="H49" s="9">
        <f t="shared" si="7"/>
        <v>550</v>
      </c>
    </row>
    <row r="50" spans="2:8" x14ac:dyDescent="0.25">
      <c r="B50" s="53" t="s">
        <v>44</v>
      </c>
      <c r="C50" s="9">
        <v>3800</v>
      </c>
      <c r="D50" s="9"/>
      <c r="E50" s="9"/>
      <c r="F50" s="9"/>
      <c r="G50" s="9"/>
      <c r="H50" s="9">
        <f t="shared" si="7"/>
        <v>3800</v>
      </c>
    </row>
    <row r="51" spans="2:8" x14ac:dyDescent="0.25">
      <c r="B51" s="53" t="s">
        <v>45</v>
      </c>
      <c r="C51" s="9">
        <v>1200</v>
      </c>
      <c r="D51" s="9"/>
      <c r="E51" s="9"/>
      <c r="F51" s="9"/>
      <c r="G51" s="9"/>
      <c r="H51" s="9">
        <f t="shared" si="7"/>
        <v>1200</v>
      </c>
    </row>
    <row r="52" spans="2:8" x14ac:dyDescent="0.25">
      <c r="B52" s="53" t="s">
        <v>46</v>
      </c>
      <c r="C52" s="9"/>
      <c r="D52" s="9"/>
      <c r="E52" s="9">
        <v>280</v>
      </c>
      <c r="F52" s="9"/>
      <c r="G52" s="9"/>
      <c r="H52" s="9">
        <f t="shared" si="7"/>
        <v>280</v>
      </c>
    </row>
    <row r="53" spans="2:8" x14ac:dyDescent="0.25">
      <c r="B53" s="53" t="s">
        <v>153</v>
      </c>
      <c r="C53" s="9"/>
      <c r="D53" s="9"/>
      <c r="E53" s="9">
        <f>110+30</f>
        <v>140</v>
      </c>
      <c r="F53" s="9"/>
      <c r="G53" s="9"/>
      <c r="H53" s="9">
        <f t="shared" si="7"/>
        <v>140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1376</v>
      </c>
      <c r="F57" s="42"/>
      <c r="G57" s="42"/>
      <c r="H57" s="44">
        <f>SUM(H58:H66)</f>
        <v>1376</v>
      </c>
    </row>
    <row r="58" spans="2:8" x14ac:dyDescent="0.25">
      <c r="B58" s="4" t="s">
        <v>51</v>
      </c>
      <c r="C58" s="7"/>
      <c r="D58" s="7"/>
      <c r="E58" s="7">
        <v>0</v>
      </c>
      <c r="F58" s="7"/>
      <c r="G58" s="7"/>
      <c r="H58" s="7">
        <f>SUM(C58:G58)</f>
        <v>0</v>
      </c>
    </row>
    <row r="59" spans="2:8" x14ac:dyDescent="0.25">
      <c r="B59" s="8" t="s">
        <v>52</v>
      </c>
      <c r="C59" s="9"/>
      <c r="D59" s="9"/>
      <c r="E59" s="9">
        <v>100</v>
      </c>
      <c r="F59" s="9"/>
      <c r="G59" s="9"/>
      <c r="H59" s="7">
        <f t="shared" ref="H59:H66" si="9">SUM(C59:G59)</f>
        <v>100</v>
      </c>
    </row>
    <row r="60" spans="2:8" x14ac:dyDescent="0.25">
      <c r="B60" s="8" t="s">
        <v>53</v>
      </c>
      <c r="C60" s="9"/>
      <c r="D60" s="9"/>
      <c r="E60" s="9">
        <v>600</v>
      </c>
      <c r="F60" s="9"/>
      <c r="G60" s="9"/>
      <c r="H60" s="7">
        <f t="shared" si="9"/>
        <v>600</v>
      </c>
    </row>
    <row r="61" spans="2:8" x14ac:dyDescent="0.25">
      <c r="B61" s="8" t="s">
        <v>54</v>
      </c>
      <c r="C61" s="9"/>
      <c r="D61" s="9"/>
      <c r="E61" s="9">
        <v>50</v>
      </c>
      <c r="F61" s="9"/>
      <c r="G61" s="9"/>
      <c r="H61" s="7">
        <f t="shared" si="9"/>
        <v>50</v>
      </c>
    </row>
    <row r="62" spans="2:8" x14ac:dyDescent="0.25">
      <c r="B62" s="8" t="s">
        <v>55</v>
      </c>
      <c r="C62" s="9"/>
      <c r="D62" s="9"/>
      <c r="E62" s="9">
        <v>100</v>
      </c>
      <c r="F62" s="9"/>
      <c r="G62" s="9"/>
      <c r="H62" s="7">
        <f t="shared" si="9"/>
        <v>100</v>
      </c>
    </row>
    <row r="63" spans="2:8" x14ac:dyDescent="0.25">
      <c r="B63" s="8" t="s">
        <v>56</v>
      </c>
      <c r="C63" s="9"/>
      <c r="D63" s="9"/>
      <c r="E63" s="9">
        <v>100</v>
      </c>
      <c r="F63" s="9"/>
      <c r="G63" s="9"/>
      <c r="H63" s="7">
        <f t="shared" si="9"/>
        <v>100</v>
      </c>
    </row>
    <row r="64" spans="2:8" x14ac:dyDescent="0.25">
      <c r="B64" s="8" t="s">
        <v>57</v>
      </c>
      <c r="C64" s="9"/>
      <c r="D64" s="9"/>
      <c r="E64" s="9">
        <v>100</v>
      </c>
      <c r="F64" s="9"/>
      <c r="G64" s="9"/>
      <c r="H64" s="7">
        <f t="shared" si="9"/>
        <v>100</v>
      </c>
    </row>
    <row r="65" spans="2:8" x14ac:dyDescent="0.25">
      <c r="B65" s="8" t="s">
        <v>58</v>
      </c>
      <c r="C65" s="9"/>
      <c r="D65" s="9"/>
      <c r="E65" s="9">
        <v>50</v>
      </c>
      <c r="F65" s="9"/>
      <c r="G65" s="9"/>
      <c r="H65" s="7">
        <f t="shared" si="9"/>
        <v>50</v>
      </c>
    </row>
    <row r="66" spans="2:8" ht="15.75" thickBot="1" x14ac:dyDescent="0.3">
      <c r="B66" s="12" t="s">
        <v>59</v>
      </c>
      <c r="C66" s="1"/>
      <c r="D66" s="1"/>
      <c r="E66" s="1">
        <f>76+200</f>
        <v>276</v>
      </c>
      <c r="F66" s="1"/>
      <c r="G66" s="1"/>
      <c r="H66" s="7">
        <f t="shared" si="9"/>
        <v>276</v>
      </c>
    </row>
    <row r="67" spans="2:8" ht="15.75" thickBot="1" x14ac:dyDescent="0.3">
      <c r="B67" s="41" t="s">
        <v>60</v>
      </c>
      <c r="C67" s="42">
        <f>SUM(C68:C91)</f>
        <v>20650</v>
      </c>
      <c r="D67" s="42">
        <f>SUM(D68:D91)</f>
        <v>120</v>
      </c>
      <c r="E67" s="42">
        <f>SUM(E68:E91)</f>
        <v>10794</v>
      </c>
      <c r="F67" s="42"/>
      <c r="G67" s="42"/>
      <c r="H67" s="44">
        <f>SUM(H68:H91)</f>
        <v>31564</v>
      </c>
    </row>
    <row r="68" spans="2:8" x14ac:dyDescent="0.25">
      <c r="B68" s="14" t="s">
        <v>165</v>
      </c>
      <c r="C68" s="7"/>
      <c r="D68" s="7"/>
      <c r="E68" s="7">
        <v>300</v>
      </c>
      <c r="F68" s="64"/>
      <c r="G68" s="64"/>
      <c r="H68" s="2">
        <f t="shared" ref="H68:H91" si="10">SUM(C68:G68)</f>
        <v>300</v>
      </c>
    </row>
    <row r="69" spans="2:8" x14ac:dyDescent="0.25">
      <c r="B69" s="14" t="s">
        <v>61</v>
      </c>
      <c r="C69" s="7"/>
      <c r="D69" s="7"/>
      <c r="E69" s="7">
        <f>300+250+50</f>
        <v>600</v>
      </c>
      <c r="F69" s="64"/>
      <c r="G69" s="64"/>
      <c r="H69" s="2">
        <f t="shared" si="10"/>
        <v>600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73">
        <v>7500</v>
      </c>
      <c r="D72" s="73"/>
      <c r="E72" s="9"/>
      <c r="F72" s="64"/>
      <c r="G72" s="64"/>
      <c r="H72" s="2">
        <f t="shared" si="10"/>
        <v>7500</v>
      </c>
    </row>
    <row r="73" spans="2:8" x14ac:dyDescent="0.25">
      <c r="B73" s="8" t="s">
        <v>65</v>
      </c>
      <c r="C73" s="9"/>
      <c r="D73" s="9"/>
      <c r="E73" s="66">
        <f>200+100+150</f>
        <v>450</v>
      </c>
      <c r="F73" s="96"/>
      <c r="G73" s="64"/>
      <c r="H73" s="2">
        <f t="shared" si="10"/>
        <v>450</v>
      </c>
    </row>
    <row r="74" spans="2:8" x14ac:dyDescent="0.25">
      <c r="B74" s="8" t="s">
        <v>66</v>
      </c>
      <c r="C74" s="9">
        <f>4800-500</f>
        <v>4300</v>
      </c>
      <c r="D74" s="9"/>
      <c r="E74" s="73">
        <f>450+250+550+700</f>
        <v>1950</v>
      </c>
      <c r="F74" s="97"/>
      <c r="G74" s="64"/>
      <c r="H74" s="2">
        <f t="shared" si="10"/>
        <v>6250</v>
      </c>
    </row>
    <row r="75" spans="2:8" x14ac:dyDescent="0.25">
      <c r="B75" s="8" t="s">
        <v>67</v>
      </c>
      <c r="C75" s="9"/>
      <c r="D75" s="9"/>
      <c r="E75" s="9">
        <f>400-150-50</f>
        <v>200</v>
      </c>
      <c r="F75" s="64"/>
      <c r="G75" s="64"/>
      <c r="H75" s="2">
        <f t="shared" si="10"/>
        <v>200</v>
      </c>
    </row>
    <row r="76" spans="2:8" x14ac:dyDescent="0.25">
      <c r="B76" s="8" t="s">
        <v>68</v>
      </c>
      <c r="C76" s="9"/>
      <c r="D76" s="9"/>
      <c r="E76" s="9">
        <f>100-100</f>
        <v>0</v>
      </c>
      <c r="F76" s="64"/>
      <c r="G76" s="64"/>
      <c r="H76" s="2">
        <f t="shared" si="10"/>
        <v>0</v>
      </c>
    </row>
    <row r="77" spans="2:8" x14ac:dyDescent="0.25">
      <c r="B77" s="8" t="s">
        <v>69</v>
      </c>
      <c r="C77" s="9"/>
      <c r="D77" s="9"/>
      <c r="E77" s="9">
        <v>100</v>
      </c>
      <c r="F77" s="64"/>
      <c r="G77" s="64"/>
      <c r="H77" s="2">
        <f t="shared" si="10"/>
        <v>100</v>
      </c>
    </row>
    <row r="78" spans="2:8" x14ac:dyDescent="0.25">
      <c r="B78" s="8" t="s">
        <v>70</v>
      </c>
      <c r="C78" s="9"/>
      <c r="D78" s="9"/>
      <c r="E78" s="9">
        <f>100+100</f>
        <v>200</v>
      </c>
      <c r="F78" s="64"/>
      <c r="G78" s="64"/>
      <c r="H78" s="2">
        <f t="shared" si="10"/>
        <v>200</v>
      </c>
    </row>
    <row r="79" spans="2:8" x14ac:dyDescent="0.25">
      <c r="B79" s="8" t="s">
        <v>71</v>
      </c>
      <c r="C79" s="9"/>
      <c r="D79" s="9"/>
      <c r="E79" s="9">
        <v>100</v>
      </c>
      <c r="F79" s="64"/>
      <c r="G79" s="64"/>
      <c r="H79" s="2">
        <f t="shared" si="10"/>
        <v>100</v>
      </c>
    </row>
    <row r="80" spans="2:8" x14ac:dyDescent="0.25">
      <c r="B80" s="8" t="s">
        <v>72</v>
      </c>
      <c r="C80" s="9">
        <f>200-50</f>
        <v>150</v>
      </c>
      <c r="D80" s="9"/>
      <c r="E80" s="9"/>
      <c r="F80" s="64"/>
      <c r="G80" s="64"/>
      <c r="H80" s="2">
        <f t="shared" si="10"/>
        <v>150</v>
      </c>
    </row>
    <row r="81" spans="2:8" x14ac:dyDescent="0.25">
      <c r="B81" s="8" t="s">
        <v>73</v>
      </c>
      <c r="C81" s="9"/>
      <c r="D81" s="9">
        <v>60</v>
      </c>
      <c r="E81" s="9">
        <v>600</v>
      </c>
      <c r="F81" s="64"/>
      <c r="G81" s="64"/>
      <c r="H81" s="2">
        <f t="shared" si="10"/>
        <v>660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9">
        <v>1000</v>
      </c>
      <c r="F84" s="64"/>
      <c r="G84" s="64"/>
      <c r="H84" s="2">
        <f t="shared" si="10"/>
        <v>1000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9">
        <v>5200</v>
      </c>
      <c r="D88" s="9"/>
      <c r="E88" s="9"/>
      <c r="F88" s="64"/>
      <c r="G88" s="64"/>
      <c r="H88" s="2">
        <f t="shared" si="10"/>
        <v>5200</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
        <v>60</v>
      </c>
      <c r="E91" s="1">
        <f>1800-280+100</f>
        <v>1620</v>
      </c>
      <c r="F91" s="37"/>
      <c r="G91" s="37"/>
      <c r="H91" s="2">
        <f t="shared" si="10"/>
        <v>1680</v>
      </c>
    </row>
    <row r="92" spans="2:8" ht="15.75" thickBot="1" x14ac:dyDescent="0.3">
      <c r="B92" s="41" t="s">
        <v>84</v>
      </c>
      <c r="C92" s="45">
        <f>SUM(C93:C98)</f>
        <v>1650</v>
      </c>
      <c r="D92" s="45"/>
      <c r="E92" s="45">
        <f t="shared" ref="E92:G92" si="11">SUM(E93:E98)</f>
        <v>7900</v>
      </c>
      <c r="F92" s="45">
        <f t="shared" si="11"/>
        <v>1870</v>
      </c>
      <c r="G92" s="45">
        <f t="shared" si="11"/>
        <v>0</v>
      </c>
      <c r="H92" s="45">
        <f>SUM(H93:H98)</f>
        <v>11420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9">
        <f>2000+800+1000</f>
        <v>3800</v>
      </c>
      <c r="F95" s="64"/>
      <c r="G95" s="64"/>
      <c r="H95" s="9">
        <f t="shared" si="12"/>
        <v>3800</v>
      </c>
    </row>
    <row r="96" spans="2:8" x14ac:dyDescent="0.25">
      <c r="B96" s="8" t="s">
        <v>87</v>
      </c>
      <c r="C96" s="9">
        <v>1000</v>
      </c>
      <c r="D96" s="9"/>
      <c r="E96" s="9">
        <f>200+300+500</f>
        <v>1000</v>
      </c>
      <c r="F96" s="64"/>
      <c r="G96" s="64"/>
      <c r="H96" s="9">
        <f t="shared" si="12"/>
        <v>2000</v>
      </c>
    </row>
    <row r="97" spans="2:8" x14ac:dyDescent="0.25">
      <c r="B97" s="8" t="s">
        <v>88</v>
      </c>
      <c r="C97" s="9"/>
      <c r="D97" s="9"/>
      <c r="E97" s="9">
        <v>50</v>
      </c>
      <c r="F97" s="64"/>
      <c r="G97" s="64"/>
      <c r="H97" s="9">
        <f t="shared" si="12"/>
        <v>50</v>
      </c>
    </row>
    <row r="98" spans="2:8" ht="15.75" thickBot="1" x14ac:dyDescent="0.3">
      <c r="B98" s="12" t="s">
        <v>89</v>
      </c>
      <c r="C98" s="1"/>
      <c r="D98" s="1"/>
      <c r="E98" s="74">
        <f>3500-500</f>
        <v>3000</v>
      </c>
      <c r="F98" s="115">
        <v>1870</v>
      </c>
      <c r="G98" s="37"/>
      <c r="H98" s="2">
        <f t="shared" si="12"/>
        <v>4870</v>
      </c>
    </row>
    <row r="99" spans="2:8" ht="15.75" thickBot="1" x14ac:dyDescent="0.3">
      <c r="B99" s="41" t="s">
        <v>90</v>
      </c>
      <c r="C99" s="45">
        <f>SUM(C100:C123)</f>
        <v>25260</v>
      </c>
      <c r="D99" s="45"/>
      <c r="E99" s="45">
        <f t="shared" ref="E99:H99" si="13">SUM(E100:E123)</f>
        <v>1860</v>
      </c>
      <c r="F99" s="45">
        <f>SUM(F100:F123)</f>
        <v>500</v>
      </c>
      <c r="G99" s="45">
        <f t="shared" si="13"/>
        <v>0</v>
      </c>
      <c r="H99" s="45">
        <f t="shared" si="13"/>
        <v>27620</v>
      </c>
    </row>
    <row r="100" spans="2:8" x14ac:dyDescent="0.25">
      <c r="B100" s="6" t="s">
        <v>91</v>
      </c>
      <c r="C100" s="75">
        <v>800</v>
      </c>
      <c r="D100" s="75"/>
      <c r="E100" s="7"/>
      <c r="F100" s="7"/>
      <c r="G100" s="7"/>
      <c r="H100" s="9">
        <f>SUM(C100:G100)</f>
        <v>800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73">
        <v>200</v>
      </c>
      <c r="D103" s="73"/>
      <c r="E103" s="9"/>
      <c r="F103" s="9"/>
      <c r="G103" s="9"/>
      <c r="H103" s="9">
        <f t="shared" si="14"/>
        <v>200</v>
      </c>
    </row>
    <row r="104" spans="2:8" x14ac:dyDescent="0.25">
      <c r="B104" s="8" t="s">
        <v>94</v>
      </c>
      <c r="C104" s="73">
        <v>800</v>
      </c>
      <c r="D104" s="73"/>
      <c r="E104" s="9"/>
      <c r="F104" s="9"/>
      <c r="G104" s="9"/>
      <c r="H104" s="9">
        <f t="shared" si="14"/>
        <v>800</v>
      </c>
    </row>
    <row r="105" spans="2:8" x14ac:dyDescent="0.25">
      <c r="B105" s="8" t="s">
        <v>95</v>
      </c>
      <c r="C105" s="104">
        <f>300+100</f>
        <v>400</v>
      </c>
      <c r="D105" s="73"/>
      <c r="E105" s="9"/>
      <c r="F105" s="9"/>
      <c r="G105" s="9"/>
      <c r="H105" s="9">
        <f t="shared" si="14"/>
        <v>400</v>
      </c>
    </row>
    <row r="106" spans="2:8" x14ac:dyDescent="0.25">
      <c r="B106" s="8" t="s">
        <v>96</v>
      </c>
      <c r="C106" s="73">
        <v>1250</v>
      </c>
      <c r="D106" s="73"/>
      <c r="E106" s="9">
        <v>10</v>
      </c>
      <c r="F106" s="9"/>
      <c r="G106" s="9"/>
      <c r="H106" s="9">
        <f t="shared" si="14"/>
        <v>1260</v>
      </c>
    </row>
    <row r="107" spans="2:8" x14ac:dyDescent="0.25">
      <c r="B107" s="8" t="s">
        <v>160</v>
      </c>
      <c r="C107" s="73">
        <v>0</v>
      </c>
      <c r="D107" s="73"/>
      <c r="E107" s="9"/>
      <c r="F107" s="9"/>
      <c r="G107" s="9"/>
      <c r="H107" s="9">
        <f t="shared" si="14"/>
        <v>0</v>
      </c>
    </row>
    <row r="108" spans="2:8" x14ac:dyDescent="0.25">
      <c r="B108" s="8" t="s">
        <v>97</v>
      </c>
      <c r="C108" s="73">
        <v>1200</v>
      </c>
      <c r="D108" s="73"/>
      <c r="E108" s="9"/>
      <c r="F108" s="9"/>
      <c r="G108" s="9"/>
      <c r="H108" s="9">
        <f t="shared" si="14"/>
        <v>1200</v>
      </c>
    </row>
    <row r="109" spans="2:8" x14ac:dyDescent="0.25">
      <c r="B109" s="8" t="s">
        <v>98</v>
      </c>
      <c r="C109" s="73">
        <v>1200</v>
      </c>
      <c r="D109" s="73"/>
      <c r="E109" s="9"/>
      <c r="F109" s="9"/>
      <c r="G109" s="9"/>
      <c r="H109" s="9">
        <f t="shared" si="14"/>
        <v>1200</v>
      </c>
    </row>
    <row r="110" spans="2:8" x14ac:dyDescent="0.25">
      <c r="B110" s="8" t="s">
        <v>99</v>
      </c>
      <c r="C110" s="9">
        <f>5000+1000</f>
        <v>6000</v>
      </c>
      <c r="D110" s="9"/>
      <c r="E110" s="9"/>
      <c r="F110" s="9"/>
      <c r="G110" s="9"/>
      <c r="H110" s="9">
        <f t="shared" si="14"/>
        <v>6000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104">
        <f>900-100</f>
        <v>800</v>
      </c>
      <c r="D113" s="73"/>
      <c r="E113" s="9"/>
      <c r="F113" s="9"/>
      <c r="G113" s="9"/>
      <c r="H113" s="9">
        <f t="shared" si="14"/>
        <v>800</v>
      </c>
    </row>
    <row r="114" spans="2:12" x14ac:dyDescent="0.25">
      <c r="B114" s="8" t="s">
        <v>102</v>
      </c>
      <c r="C114" s="73">
        <v>1200</v>
      </c>
      <c r="D114" s="73"/>
      <c r="E114" s="9"/>
      <c r="F114" s="9"/>
      <c r="G114" s="9"/>
      <c r="H114" s="9">
        <f t="shared" si="14"/>
        <v>1200</v>
      </c>
    </row>
    <row r="115" spans="2:12" x14ac:dyDescent="0.25">
      <c r="B115" s="8" t="s">
        <v>103</v>
      </c>
      <c r="C115" s="73">
        <v>100</v>
      </c>
      <c r="D115" s="73"/>
      <c r="E115" s="9"/>
      <c r="F115" s="9"/>
      <c r="G115" s="9"/>
      <c r="H115" s="9">
        <f t="shared" si="14"/>
        <v>100</v>
      </c>
    </row>
    <row r="116" spans="2:12" x14ac:dyDescent="0.25">
      <c r="B116" s="8" t="s">
        <v>104</v>
      </c>
      <c r="C116" s="9">
        <v>500</v>
      </c>
      <c r="D116" s="9"/>
      <c r="E116" s="9">
        <f>500+50</f>
        <v>550</v>
      </c>
      <c r="F116" s="9"/>
      <c r="G116" s="9"/>
      <c r="H116" s="9">
        <f t="shared" si="14"/>
        <v>1050</v>
      </c>
    </row>
    <row r="117" spans="2:12" x14ac:dyDescent="0.25">
      <c r="B117" s="8" t="s">
        <v>105</v>
      </c>
      <c r="C117" s="73">
        <v>200</v>
      </c>
      <c r="D117" s="73"/>
      <c r="E117" s="9"/>
      <c r="F117" s="9"/>
      <c r="G117" s="9"/>
      <c r="H117" s="9">
        <f t="shared" si="14"/>
        <v>200</v>
      </c>
    </row>
    <row r="118" spans="2:12" x14ac:dyDescent="0.25">
      <c r="B118" s="8" t="s">
        <v>106</v>
      </c>
      <c r="C118" s="73">
        <v>1200</v>
      </c>
      <c r="D118" s="73"/>
      <c r="E118" s="9"/>
      <c r="F118" s="9"/>
      <c r="G118" s="9"/>
      <c r="H118" s="9">
        <f t="shared" si="14"/>
        <v>1200</v>
      </c>
    </row>
    <row r="119" spans="2:12" x14ac:dyDescent="0.25">
      <c r="B119" s="8" t="s">
        <v>107</v>
      </c>
      <c r="C119" s="73">
        <f>4100-100</f>
        <v>4000</v>
      </c>
      <c r="D119" s="104"/>
      <c r="E119" s="9"/>
      <c r="F119" s="9">
        <v>500</v>
      </c>
      <c r="G119" s="9"/>
      <c r="H119" s="9">
        <f t="shared" si="14"/>
        <v>4500</v>
      </c>
    </row>
    <row r="120" spans="2:12" x14ac:dyDescent="0.25">
      <c r="B120" s="23" t="s">
        <v>108</v>
      </c>
      <c r="C120" s="9">
        <f>1850+340+258+64+120-250-300-82+220-100</f>
        <v>2120</v>
      </c>
      <c r="D120" s="102"/>
      <c r="E120" s="9"/>
      <c r="F120" s="9"/>
      <c r="G120" s="9"/>
      <c r="H120" s="9">
        <f t="shared" si="14"/>
        <v>2120</v>
      </c>
    </row>
    <row r="121" spans="2:12" x14ac:dyDescent="0.25">
      <c r="B121" s="8" t="s">
        <v>109</v>
      </c>
      <c r="C121" s="9">
        <v>900</v>
      </c>
      <c r="D121" s="9"/>
      <c r="E121" s="9"/>
      <c r="F121" s="9"/>
      <c r="G121" s="9"/>
      <c r="H121" s="9">
        <f t="shared" si="14"/>
        <v>900</v>
      </c>
    </row>
    <row r="122" spans="2:12" x14ac:dyDescent="0.25">
      <c r="B122" s="8" t="s">
        <v>110</v>
      </c>
      <c r="C122" s="9"/>
      <c r="D122" s="9"/>
      <c r="E122" s="9">
        <v>1200</v>
      </c>
      <c r="F122" s="9"/>
      <c r="G122" s="9"/>
      <c r="H122" s="9">
        <f t="shared" si="14"/>
        <v>1200</v>
      </c>
      <c r="L122" s="56"/>
    </row>
    <row r="123" spans="2:12" ht="15.75" thickBot="1" x14ac:dyDescent="0.3">
      <c r="B123" s="12" t="s">
        <v>111</v>
      </c>
      <c r="C123" s="36">
        <v>900</v>
      </c>
      <c r="D123" s="36"/>
      <c r="E123" s="1"/>
      <c r="F123" s="1"/>
      <c r="G123" s="36"/>
      <c r="H123" s="9">
        <f t="shared" si="14"/>
        <v>900</v>
      </c>
    </row>
    <row r="124" spans="2:12" ht="15.75" thickBot="1" x14ac:dyDescent="0.3">
      <c r="B124" s="41" t="s">
        <v>112</v>
      </c>
      <c r="C124" s="45">
        <f>SUM(C125:C145)</f>
        <v>187632</v>
      </c>
      <c r="D124" s="45"/>
      <c r="E124" s="45">
        <f t="shared" ref="E124" si="15">SUM(E125:E145)</f>
        <v>5970</v>
      </c>
      <c r="F124" s="45"/>
      <c r="G124" s="45"/>
      <c r="H124" s="45">
        <f>SUM(H125:H145)</f>
        <v>193602</v>
      </c>
      <c r="L124" s="56"/>
    </row>
    <row r="125" spans="2:12" x14ac:dyDescent="0.25">
      <c r="B125" s="6" t="s">
        <v>113</v>
      </c>
      <c r="C125" s="7">
        <v>5700</v>
      </c>
      <c r="D125" s="7"/>
      <c r="E125" s="7">
        <v>150</v>
      </c>
      <c r="F125" s="7"/>
      <c r="G125" s="7"/>
      <c r="H125" s="9">
        <f>SUM(C125:G125)</f>
        <v>5850</v>
      </c>
    </row>
    <row r="126" spans="2:12" x14ac:dyDescent="0.25">
      <c r="B126" s="8" t="s">
        <v>114</v>
      </c>
      <c r="C126" s="73">
        <v>350</v>
      </c>
      <c r="D126" s="73"/>
      <c r="E126" s="9"/>
      <c r="F126" s="9"/>
      <c r="G126" s="9"/>
      <c r="H126" s="9">
        <f t="shared" ref="H126:H145" si="16">SUM(C126:G126)</f>
        <v>350</v>
      </c>
    </row>
    <row r="127" spans="2:12" x14ac:dyDescent="0.25">
      <c r="B127" s="8" t="s">
        <v>162</v>
      </c>
      <c r="C127" s="73">
        <v>100</v>
      </c>
      <c r="D127" s="73"/>
      <c r="E127" s="9"/>
      <c r="F127" s="9"/>
      <c r="G127" s="9"/>
      <c r="H127" s="9">
        <f t="shared" si="16"/>
        <v>100</v>
      </c>
    </row>
    <row r="128" spans="2:12" x14ac:dyDescent="0.25">
      <c r="B128" s="8" t="s">
        <v>115</v>
      </c>
      <c r="C128" s="73">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104">
        <f>8500+1500+72+965-1000</f>
        <v>10037</v>
      </c>
      <c r="D132" s="104"/>
      <c r="E132" s="9">
        <v>1000</v>
      </c>
      <c r="F132" s="9"/>
      <c r="G132" s="9"/>
      <c r="H132" s="9">
        <f t="shared" si="16"/>
        <v>11037</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73">
        <f>21800+5000+5700</f>
        <v>32500</v>
      </c>
      <c r="D135" s="104"/>
      <c r="E135" s="9">
        <f>1000-200</f>
        <v>800</v>
      </c>
      <c r="F135" s="9"/>
      <c r="G135" s="9"/>
      <c r="H135" s="9">
        <f t="shared" si="16"/>
        <v>33300</v>
      </c>
    </row>
    <row r="136" spans="2:8" x14ac:dyDescent="0.25">
      <c r="B136" s="8" t="s">
        <v>122</v>
      </c>
      <c r="C136" s="66">
        <f>53648+7892</f>
        <v>61540</v>
      </c>
      <c r="D136" s="108"/>
      <c r="E136" s="102">
        <f>1000-200-200</f>
        <v>600</v>
      </c>
      <c r="F136" s="9"/>
      <c r="G136" s="66"/>
      <c r="H136" s="9">
        <f t="shared" si="16"/>
        <v>62140</v>
      </c>
    </row>
    <row r="137" spans="2:8" x14ac:dyDescent="0.25">
      <c r="B137" s="8" t="s">
        <v>158</v>
      </c>
      <c r="C137" s="66">
        <f>33077+3200+29000</f>
        <v>65277</v>
      </c>
      <c r="D137" s="66"/>
      <c r="E137" s="9">
        <v>500</v>
      </c>
      <c r="F137" s="9"/>
      <c r="G137" s="9"/>
      <c r="H137" s="9">
        <f t="shared" si="16"/>
        <v>65777</v>
      </c>
    </row>
    <row r="138" spans="2:8" x14ac:dyDescent="0.25">
      <c r="B138" s="8" t="s">
        <v>123</v>
      </c>
      <c r="C138" s="90">
        <v>1200</v>
      </c>
      <c r="D138" s="90"/>
      <c r="E138" s="103">
        <f>1000-500+500+200</f>
        <v>1200</v>
      </c>
      <c r="F138" s="90"/>
      <c r="G138" s="13"/>
      <c r="H138" s="9">
        <f t="shared" si="16"/>
        <v>2400</v>
      </c>
    </row>
    <row r="139" spans="2:8" x14ac:dyDescent="0.25">
      <c r="B139" s="8" t="s">
        <v>124</v>
      </c>
      <c r="C139" s="9">
        <v>3100</v>
      </c>
      <c r="D139" s="9"/>
      <c r="E139" s="9"/>
      <c r="F139" s="9"/>
      <c r="G139" s="9"/>
      <c r="H139" s="9">
        <f t="shared" si="16"/>
        <v>3100</v>
      </c>
    </row>
    <row r="140" spans="2:8" x14ac:dyDescent="0.25">
      <c r="B140" s="8" t="s">
        <v>125</v>
      </c>
      <c r="C140" s="9">
        <v>1800</v>
      </c>
      <c r="D140" s="9"/>
      <c r="E140" s="9"/>
      <c r="F140" s="9"/>
      <c r="G140" s="9"/>
      <c r="H140" s="9">
        <f t="shared" si="16"/>
        <v>1800</v>
      </c>
    </row>
    <row r="141" spans="2:8" x14ac:dyDescent="0.25">
      <c r="B141" s="8" t="s">
        <v>164</v>
      </c>
      <c r="C141" s="9">
        <f>166-38</f>
        <v>128</v>
      </c>
      <c r="D141" s="102"/>
      <c r="E141" s="9"/>
      <c r="F141" s="9"/>
      <c r="G141" s="9"/>
      <c r="H141" s="9">
        <f t="shared" si="16"/>
        <v>128</v>
      </c>
    </row>
    <row r="142" spans="2:8" x14ac:dyDescent="0.25">
      <c r="B142" s="8" t="s">
        <v>126</v>
      </c>
      <c r="C142" s="9">
        <v>1200</v>
      </c>
      <c r="D142" s="9"/>
      <c r="E142" s="9">
        <v>100</v>
      </c>
      <c r="F142" s="9"/>
      <c r="G142" s="9"/>
      <c r="H142" s="9">
        <f t="shared" si="16"/>
        <v>1300</v>
      </c>
    </row>
    <row r="143" spans="2:8" x14ac:dyDescent="0.25">
      <c r="B143" s="8" t="s">
        <v>127</v>
      </c>
      <c r="C143" s="9">
        <v>1600</v>
      </c>
      <c r="D143" s="9"/>
      <c r="E143" s="9"/>
      <c r="F143" s="9"/>
      <c r="G143" s="9"/>
      <c r="H143" s="9">
        <f t="shared" si="16"/>
        <v>1600</v>
      </c>
    </row>
    <row r="144" spans="2:8" x14ac:dyDescent="0.25">
      <c r="B144" s="8" t="s">
        <v>128</v>
      </c>
      <c r="C144" s="66">
        <f>400-100</f>
        <v>300</v>
      </c>
      <c r="D144" s="66"/>
      <c r="E144" s="9">
        <v>100</v>
      </c>
      <c r="F144" s="9"/>
      <c r="G144" s="9"/>
      <c r="H144" s="9">
        <f>SUM(C144:G144)</f>
        <v>400</v>
      </c>
    </row>
    <row r="145" spans="2:8" ht="15.75" thickBot="1" x14ac:dyDescent="0.3">
      <c r="B145" s="17" t="s">
        <v>129</v>
      </c>
      <c r="C145" s="1"/>
      <c r="D145" s="1"/>
      <c r="E145" s="1">
        <f>600+200</f>
        <v>800</v>
      </c>
      <c r="F145" s="1"/>
      <c r="G145" s="1"/>
      <c r="H145" s="9">
        <f t="shared" si="16"/>
        <v>800</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120">
        <f>1500+1500+200</f>
        <v>3200</v>
      </c>
      <c r="F147" s="100"/>
      <c r="G147" s="81"/>
      <c r="H147" s="72">
        <f t="shared" ref="H147" si="17">SUM(C147:G147)</f>
        <v>3200</v>
      </c>
    </row>
    <row r="148" spans="2:8" ht="15.75" thickBot="1" x14ac:dyDescent="0.3">
      <c r="B148" s="47" t="s">
        <v>151</v>
      </c>
      <c r="C148" s="65">
        <f>SUM(C149:C152)</f>
        <v>2000</v>
      </c>
      <c r="D148" s="65"/>
      <c r="E148" s="83">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119">
        <f>200+400+100-200</f>
        <v>500</v>
      </c>
      <c r="F154" s="43"/>
      <c r="G154" s="82"/>
      <c r="H154" s="44">
        <f>SUM(C154:E154)</f>
        <v>500</v>
      </c>
    </row>
    <row r="155" spans="2:8" ht="16.5" thickBot="1" x14ac:dyDescent="0.3">
      <c r="B155" s="29" t="s">
        <v>136</v>
      </c>
      <c r="C155" s="30">
        <f>SUM(C19,C20,C21,C29,C32,C57,C67,C92,C99,C124,C146,C147,C148,C153,C154,C22)</f>
        <v>2717103</v>
      </c>
      <c r="D155" s="30">
        <f>SUM(D19,D20,D21,D29,D32,D57,D67,D92,D99,D124,D146,D147,D148,D153,D154,D22)</f>
        <v>200</v>
      </c>
      <c r="E155" s="30">
        <f>SUM(E19,E20,E21,E29,E32,E57,E67,E92,E99,E124,E146,E147,E148,E153,E154,E22)</f>
        <v>71940</v>
      </c>
      <c r="F155" s="30">
        <f>SUM(F19,F20,F21,F29,F32,F57,F67,F92,F99,F124,F146,F147,F148,F153,F154,F22)</f>
        <v>2370</v>
      </c>
      <c r="G155" s="30">
        <f>SUM(G19,G20,G21,G29,G32,G57,G67,G92,G99,G124,G146,G147,G148,G153,G154,G22)</f>
        <v>288</v>
      </c>
      <c r="H155" s="30">
        <f>SUM(H19,H20,H21,H22,H29,H32,H57,H67,H92,H99,H124,H146,H147,H148,H153,H154)</f>
        <v>2791901</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20"/>
      <c r="E158" s="9"/>
      <c r="F158" s="64"/>
      <c r="G158" s="77"/>
      <c r="H158" s="2">
        <f t="shared" si="20"/>
        <v>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64">
        <v>4000</v>
      </c>
      <c r="G161" s="77"/>
      <c r="H161" s="2">
        <f t="shared" si="20"/>
        <v>4000</v>
      </c>
    </row>
    <row r="162" spans="1:12" x14ac:dyDescent="0.25">
      <c r="B162" s="21" t="s">
        <v>140</v>
      </c>
      <c r="C162" s="20"/>
      <c r="D162" s="20">
        <v>23084</v>
      </c>
      <c r="E162" s="9">
        <f>200-100-50</f>
        <v>50</v>
      </c>
      <c r="F162" s="64"/>
      <c r="G162" s="77"/>
      <c r="H162" s="2">
        <f t="shared" si="20"/>
        <v>23134</v>
      </c>
    </row>
    <row r="163" spans="1:12" x14ac:dyDescent="0.25">
      <c r="B163" s="19" t="s">
        <v>141</v>
      </c>
      <c r="C163" s="20"/>
      <c r="D163" s="20">
        <v>34727</v>
      </c>
      <c r="E163" s="9">
        <f>600-200</f>
        <v>400</v>
      </c>
      <c r="F163" s="64"/>
      <c r="G163" s="77"/>
      <c r="H163" s="2">
        <f t="shared" si="20"/>
        <v>35127</v>
      </c>
    </row>
    <row r="164" spans="1:12" x14ac:dyDescent="0.25">
      <c r="B164" s="21" t="s">
        <v>142</v>
      </c>
      <c r="C164" s="20"/>
      <c r="D164" s="20">
        <v>500</v>
      </c>
      <c r="E164" s="9">
        <f>400+200+150+100+200+20+100+50</f>
        <v>1220</v>
      </c>
      <c r="F164" s="64">
        <v>729</v>
      </c>
      <c r="G164" s="77"/>
      <c r="H164" s="2">
        <f t="shared" si="20"/>
        <v>2449</v>
      </c>
      <c r="K164" s="56"/>
    </row>
    <row r="165" spans="1:12" x14ac:dyDescent="0.25">
      <c r="B165" s="21" t="s">
        <v>176</v>
      </c>
      <c r="C165" s="20"/>
      <c r="D165" s="20"/>
      <c r="E165" s="9">
        <v>15</v>
      </c>
      <c r="F165" s="64"/>
      <c r="G165" s="77"/>
      <c r="H165" s="2">
        <f t="shared" si="20"/>
        <v>15</v>
      </c>
    </row>
    <row r="166" spans="1:12" x14ac:dyDescent="0.25">
      <c r="B166" s="19" t="s">
        <v>143</v>
      </c>
      <c r="C166" s="20"/>
      <c r="D166" s="20"/>
      <c r="E166" s="9">
        <f>300-150+100+300</f>
        <v>550</v>
      </c>
      <c r="F166" s="64"/>
      <c r="G166" s="77"/>
      <c r="H166" s="2">
        <f t="shared" si="20"/>
        <v>550</v>
      </c>
    </row>
    <row r="167" spans="1:12" x14ac:dyDescent="0.25">
      <c r="B167" s="22" t="s">
        <v>144</v>
      </c>
      <c r="C167" s="20"/>
      <c r="D167" s="20">
        <v>22200</v>
      </c>
      <c r="E167" s="9">
        <v>500</v>
      </c>
      <c r="F167" s="64"/>
      <c r="G167" s="77"/>
      <c r="H167" s="2">
        <f t="shared" si="20"/>
        <v>22700</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80511</v>
      </c>
      <c r="E171" s="30">
        <f>SUM(E156:E170)</f>
        <v>2885</v>
      </c>
      <c r="F171" s="30">
        <f t="shared" si="21"/>
        <v>4729</v>
      </c>
      <c r="G171" s="30">
        <f t="shared" si="21"/>
        <v>2797</v>
      </c>
      <c r="H171" s="30">
        <f t="shared" si="21"/>
        <v>90922</v>
      </c>
    </row>
    <row r="172" spans="1:12" ht="16.5" customHeight="1" thickBot="1" x14ac:dyDescent="0.3">
      <c r="B172" s="34" t="s">
        <v>148</v>
      </c>
      <c r="C172" s="35">
        <f t="shared" ref="C172:G172" si="22">C155+C171</f>
        <v>2717103</v>
      </c>
      <c r="D172" s="35">
        <f t="shared" si="22"/>
        <v>80711</v>
      </c>
      <c r="E172" s="35">
        <f t="shared" si="22"/>
        <v>74825</v>
      </c>
      <c r="F172" s="35">
        <f>F155+F171</f>
        <v>7099</v>
      </c>
      <c r="G172" s="35">
        <f t="shared" si="22"/>
        <v>3085</v>
      </c>
      <c r="H172" s="35">
        <f>H155+H171</f>
        <v>2882823</v>
      </c>
      <c r="L172" s="56"/>
    </row>
    <row r="173" spans="1:12" ht="64.5" customHeight="1" x14ac:dyDescent="0.25">
      <c r="A173" s="89"/>
      <c r="B173" s="146" t="s">
        <v>209</v>
      </c>
      <c r="C173" s="146"/>
      <c r="D173" s="146"/>
      <c r="E173" s="146"/>
      <c r="F173" s="146"/>
      <c r="G173" s="146"/>
      <c r="H173" s="146"/>
    </row>
    <row r="174" spans="1:12" ht="15" customHeight="1" x14ac:dyDescent="0.25">
      <c r="E174" s="147" t="s">
        <v>179</v>
      </c>
      <c r="F174" s="147"/>
      <c r="G174" s="147"/>
      <c r="H174" s="147"/>
    </row>
    <row r="175" spans="1:12" ht="1.5" hidden="1" customHeight="1" x14ac:dyDescent="0.25">
      <c r="E175" s="147" t="s">
        <v>180</v>
      </c>
      <c r="F175" s="147"/>
      <c r="G175" s="147"/>
      <c r="H175" s="147"/>
    </row>
    <row r="176" spans="1:12" hidden="1" x14ac:dyDescent="0.25">
      <c r="C176" s="56"/>
      <c r="D176" s="56"/>
      <c r="E176" s="147"/>
      <c r="F176" s="147"/>
      <c r="G176" s="147"/>
      <c r="H176" s="147"/>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topLeftCell="A151" zoomScale="110" zoomScaleNormal="110" workbookViewId="0">
      <selection activeCell="B5" sqref="B5:B172"/>
    </sheetView>
  </sheetViews>
  <sheetFormatPr defaultRowHeight="15" x14ac:dyDescent="0.25"/>
  <cols>
    <col min="1" max="1" width="54.7109375" customWidth="1"/>
    <col min="2" max="2" width="13.5703125" customWidth="1"/>
    <col min="3" max="3" width="12.7109375" customWidth="1"/>
  </cols>
  <sheetData>
    <row r="2" spans="1:3" x14ac:dyDescent="0.25">
      <c r="A2" s="148" t="s">
        <v>0</v>
      </c>
      <c r="B2" s="148"/>
      <c r="C2" s="148"/>
    </row>
    <row r="3" spans="1:3" x14ac:dyDescent="0.25">
      <c r="A3" s="149" t="s">
        <v>207</v>
      </c>
      <c r="B3" s="149"/>
      <c r="C3" s="149"/>
    </row>
    <row r="4" spans="1:3" ht="15.75" thickBot="1" x14ac:dyDescent="0.3">
      <c r="A4" s="59"/>
      <c r="B4" s="5" t="s">
        <v>1</v>
      </c>
      <c r="C4" s="117"/>
    </row>
    <row r="5" spans="1:3" ht="43.5" thickBot="1" x14ac:dyDescent="0.3">
      <c r="A5" s="24" t="s">
        <v>2</v>
      </c>
      <c r="B5" s="25" t="s">
        <v>5</v>
      </c>
      <c r="C5" s="57" t="s">
        <v>154</v>
      </c>
    </row>
    <row r="6" spans="1:3" ht="15.75" x14ac:dyDescent="0.25">
      <c r="A6" s="26" t="s">
        <v>6</v>
      </c>
      <c r="B6" s="28"/>
      <c r="C6" s="28"/>
    </row>
    <row r="7" spans="1:3" x14ac:dyDescent="0.25">
      <c r="A7" s="6" t="s">
        <v>9</v>
      </c>
      <c r="B7" s="2">
        <v>2681262</v>
      </c>
      <c r="C7" s="67" t="s">
        <v>7</v>
      </c>
    </row>
    <row r="8" spans="1:3" x14ac:dyDescent="0.25">
      <c r="A8" s="8" t="s">
        <v>10</v>
      </c>
      <c r="B8" s="2">
        <v>30703</v>
      </c>
      <c r="C8" s="67" t="s">
        <v>7</v>
      </c>
    </row>
    <row r="9" spans="1:3" x14ac:dyDescent="0.25">
      <c r="A9" s="8" t="s">
        <v>195</v>
      </c>
      <c r="B9" s="2">
        <v>60525</v>
      </c>
      <c r="C9" s="67" t="s">
        <v>8</v>
      </c>
    </row>
    <row r="10" spans="1:3" x14ac:dyDescent="0.25">
      <c r="A10" s="8" t="s">
        <v>169</v>
      </c>
      <c r="B10" s="2">
        <v>11177</v>
      </c>
      <c r="C10" s="67" t="s">
        <v>155</v>
      </c>
    </row>
    <row r="11" spans="1:3" x14ac:dyDescent="0.25">
      <c r="A11" s="8" t="s">
        <v>171</v>
      </c>
      <c r="B11" s="2">
        <v>87310</v>
      </c>
      <c r="C11" s="67" t="s">
        <v>202</v>
      </c>
    </row>
    <row r="12" spans="1:3" x14ac:dyDescent="0.25">
      <c r="A12" s="8" t="s">
        <v>196</v>
      </c>
      <c r="B12" s="2">
        <v>500</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2882823</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2275474</v>
      </c>
      <c r="C19" s="63" t="s">
        <v>188</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2">
        <v>44724</v>
      </c>
      <c r="C22" s="69" t="s">
        <v>155</v>
      </c>
    </row>
    <row r="23" spans="1:3" x14ac:dyDescent="0.25">
      <c r="A23" s="110" t="s">
        <v>177</v>
      </c>
      <c r="B23" s="75">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1500</v>
      </c>
      <c r="C27" s="60" t="s">
        <v>155</v>
      </c>
    </row>
    <row r="28" spans="1:3" ht="15.75" thickBot="1" x14ac:dyDescent="0.3">
      <c r="A28" s="8" t="s">
        <v>167</v>
      </c>
      <c r="B28" s="7">
        <v>24170</v>
      </c>
      <c r="C28" s="60" t="s">
        <v>155</v>
      </c>
    </row>
    <row r="29" spans="1:3" ht="15.75" thickBot="1" x14ac:dyDescent="0.3">
      <c r="A29" s="41" t="s">
        <v>24</v>
      </c>
      <c r="B29" s="45">
        <v>30015</v>
      </c>
      <c r="C29" s="60"/>
    </row>
    <row r="30" spans="1:3" x14ac:dyDescent="0.25">
      <c r="A30" s="10" t="s">
        <v>25</v>
      </c>
      <c r="B30" s="88">
        <v>29705</v>
      </c>
      <c r="C30" s="60" t="s">
        <v>155</v>
      </c>
    </row>
    <row r="31" spans="1:3" x14ac:dyDescent="0.25">
      <c r="A31" s="53" t="s">
        <v>178</v>
      </c>
      <c r="B31" s="9">
        <v>310</v>
      </c>
      <c r="C31" s="70" t="s">
        <v>8</v>
      </c>
    </row>
    <row r="32" spans="1:3" ht="15.75" thickBot="1" x14ac:dyDescent="0.3">
      <c r="A32" s="48" t="s">
        <v>26</v>
      </c>
      <c r="B32" s="86">
        <v>108322</v>
      </c>
      <c r="C32" s="70"/>
    </row>
    <row r="33" spans="1:3" x14ac:dyDescent="0.25">
      <c r="A33" s="71" t="s">
        <v>27</v>
      </c>
      <c r="B33" s="9">
        <v>2300</v>
      </c>
      <c r="C33" s="60" t="s">
        <v>155</v>
      </c>
    </row>
    <row r="34" spans="1:3" x14ac:dyDescent="0.25">
      <c r="A34" s="53" t="s">
        <v>28</v>
      </c>
      <c r="B34" s="9">
        <v>28142</v>
      </c>
      <c r="C34" s="60" t="s">
        <v>155</v>
      </c>
    </row>
    <row r="35" spans="1:3" x14ac:dyDescent="0.25">
      <c r="A35" s="53" t="s">
        <v>29</v>
      </c>
      <c r="B35" s="9">
        <v>15000</v>
      </c>
      <c r="C35" s="60" t="s">
        <v>155</v>
      </c>
    </row>
    <row r="36" spans="1:3" x14ac:dyDescent="0.25">
      <c r="A36" s="53" t="s">
        <v>30</v>
      </c>
      <c r="B36" s="9">
        <v>100</v>
      </c>
      <c r="C36" s="69" t="s">
        <v>7</v>
      </c>
    </row>
    <row r="37" spans="1:3" x14ac:dyDescent="0.25">
      <c r="A37" s="53" t="s">
        <v>31</v>
      </c>
      <c r="B37" s="9">
        <v>25500</v>
      </c>
      <c r="C37" s="69" t="s">
        <v>155</v>
      </c>
    </row>
    <row r="38" spans="1:3" x14ac:dyDescent="0.25">
      <c r="A38" s="53" t="s">
        <v>32</v>
      </c>
      <c r="B38" s="9">
        <v>6460</v>
      </c>
      <c r="C38" s="60" t="s">
        <v>7</v>
      </c>
    </row>
    <row r="39" spans="1:3" x14ac:dyDescent="0.25">
      <c r="A39" s="53" t="s">
        <v>33</v>
      </c>
      <c r="B39" s="9">
        <v>450</v>
      </c>
      <c r="C39" s="60" t="s">
        <v>7</v>
      </c>
    </row>
    <row r="40" spans="1:3" x14ac:dyDescent="0.25">
      <c r="A40" s="53" t="s">
        <v>34</v>
      </c>
      <c r="B40" s="9">
        <v>500</v>
      </c>
      <c r="C40" s="60" t="s">
        <v>7</v>
      </c>
    </row>
    <row r="41" spans="1:3" x14ac:dyDescent="0.25">
      <c r="A41" s="53" t="s">
        <v>35</v>
      </c>
      <c r="B41" s="9">
        <v>5200</v>
      </c>
      <c r="C41" s="60" t="s">
        <v>7</v>
      </c>
    </row>
    <row r="42" spans="1:3" x14ac:dyDescent="0.25">
      <c r="A42" s="53" t="s">
        <v>36</v>
      </c>
      <c r="B42" s="9">
        <v>7200</v>
      </c>
      <c r="C42" s="60" t="s">
        <v>155</v>
      </c>
    </row>
    <row r="43" spans="1:3" x14ac:dyDescent="0.25">
      <c r="A43" s="53" t="s">
        <v>37</v>
      </c>
      <c r="B43" s="9">
        <v>5600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650</v>
      </c>
      <c r="C47" s="60" t="s">
        <v>155</v>
      </c>
    </row>
    <row r="48" spans="1:3" x14ac:dyDescent="0.25">
      <c r="A48" s="53" t="s">
        <v>42</v>
      </c>
      <c r="B48" s="9">
        <v>350</v>
      </c>
      <c r="C48" s="60" t="s">
        <v>7</v>
      </c>
    </row>
    <row r="49" spans="1:3" x14ac:dyDescent="0.25">
      <c r="A49" s="53" t="s">
        <v>43</v>
      </c>
      <c r="B49" s="9">
        <v>550</v>
      </c>
      <c r="C49" s="60" t="s">
        <v>7</v>
      </c>
    </row>
    <row r="50" spans="1:3" x14ac:dyDescent="0.25">
      <c r="A50" s="53" t="s">
        <v>44</v>
      </c>
      <c r="B50" s="9">
        <v>3800</v>
      </c>
      <c r="C50" s="60" t="s">
        <v>7</v>
      </c>
    </row>
    <row r="51" spans="1:3" x14ac:dyDescent="0.25">
      <c r="A51" s="53" t="s">
        <v>45</v>
      </c>
      <c r="B51" s="9">
        <v>1200</v>
      </c>
      <c r="C51" s="60" t="s">
        <v>7</v>
      </c>
    </row>
    <row r="52" spans="1:3" x14ac:dyDescent="0.25">
      <c r="A52" s="53" t="s">
        <v>46</v>
      </c>
      <c r="B52" s="9">
        <v>280</v>
      </c>
      <c r="C52" s="60" t="s">
        <v>8</v>
      </c>
    </row>
    <row r="53" spans="1:3" x14ac:dyDescent="0.25">
      <c r="A53" s="53" t="s">
        <v>153</v>
      </c>
      <c r="B53" s="9">
        <v>140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1376</v>
      </c>
      <c r="C57" s="70"/>
    </row>
    <row r="58" spans="1:3" x14ac:dyDescent="0.25">
      <c r="A58" s="4" t="s">
        <v>51</v>
      </c>
      <c r="B58" s="7">
        <v>0</v>
      </c>
      <c r="C58" s="60"/>
    </row>
    <row r="59" spans="1:3" x14ac:dyDescent="0.25">
      <c r="A59" s="8" t="s">
        <v>52</v>
      </c>
      <c r="B59" s="7">
        <v>100</v>
      </c>
      <c r="C59" s="60" t="s">
        <v>8</v>
      </c>
    </row>
    <row r="60" spans="1:3" x14ac:dyDescent="0.25">
      <c r="A60" s="8" t="s">
        <v>53</v>
      </c>
      <c r="B60" s="7">
        <v>600</v>
      </c>
      <c r="C60" s="60" t="s">
        <v>8</v>
      </c>
    </row>
    <row r="61" spans="1:3" x14ac:dyDescent="0.25">
      <c r="A61" s="8" t="s">
        <v>54</v>
      </c>
      <c r="B61" s="7">
        <v>50</v>
      </c>
      <c r="C61" s="60" t="s">
        <v>8</v>
      </c>
    </row>
    <row r="62" spans="1:3" x14ac:dyDescent="0.25">
      <c r="A62" s="8" t="s">
        <v>55</v>
      </c>
      <c r="B62" s="7">
        <v>100</v>
      </c>
      <c r="C62" s="60" t="s">
        <v>8</v>
      </c>
    </row>
    <row r="63" spans="1:3" x14ac:dyDescent="0.25">
      <c r="A63" s="8" t="s">
        <v>56</v>
      </c>
      <c r="B63" s="7">
        <v>100</v>
      </c>
      <c r="C63" s="60" t="s">
        <v>8</v>
      </c>
    </row>
    <row r="64" spans="1:3" x14ac:dyDescent="0.25">
      <c r="A64" s="8" t="s">
        <v>57</v>
      </c>
      <c r="B64" s="7">
        <v>100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31564</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7500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100</v>
      </c>
      <c r="C77" s="60" t="s">
        <v>8</v>
      </c>
    </row>
    <row r="78" spans="1:3" x14ac:dyDescent="0.25">
      <c r="A78" s="8" t="s">
        <v>70</v>
      </c>
      <c r="B78" s="2">
        <v>200</v>
      </c>
      <c r="C78" s="60" t="s">
        <v>8</v>
      </c>
    </row>
    <row r="79" spans="1:3" x14ac:dyDescent="0.25">
      <c r="A79" s="8" t="s">
        <v>71</v>
      </c>
      <c r="B79" s="2">
        <v>100</v>
      </c>
      <c r="C79" s="60" t="s">
        <v>8</v>
      </c>
    </row>
    <row r="80" spans="1:3" x14ac:dyDescent="0.25">
      <c r="A80" s="8" t="s">
        <v>72</v>
      </c>
      <c r="B80" s="2">
        <v>150</v>
      </c>
      <c r="C80" s="60" t="s">
        <v>7</v>
      </c>
    </row>
    <row r="81" spans="1:3" x14ac:dyDescent="0.25">
      <c r="A81" s="8" t="s">
        <v>73</v>
      </c>
      <c r="B81" s="2">
        <v>660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1000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5200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1680</v>
      </c>
      <c r="C91" s="60" t="s">
        <v>159</v>
      </c>
    </row>
    <row r="92" spans="1:3" ht="15.75" thickBot="1" x14ac:dyDescent="0.3">
      <c r="A92" s="41" t="s">
        <v>84</v>
      </c>
      <c r="B92" s="45">
        <v>11420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3800</v>
      </c>
      <c r="C95" s="60" t="s">
        <v>8</v>
      </c>
    </row>
    <row r="96" spans="1:3" x14ac:dyDescent="0.25">
      <c r="A96" s="8" t="s">
        <v>87</v>
      </c>
      <c r="B96" s="9">
        <v>2000</v>
      </c>
      <c r="C96" s="60" t="s">
        <v>155</v>
      </c>
    </row>
    <row r="97" spans="1:3" x14ac:dyDescent="0.25">
      <c r="A97" s="8" t="s">
        <v>88</v>
      </c>
      <c r="B97" s="9">
        <v>50</v>
      </c>
      <c r="C97" s="60" t="s">
        <v>8</v>
      </c>
    </row>
    <row r="98" spans="1:3" ht="15.75" thickBot="1" x14ac:dyDescent="0.3">
      <c r="A98" s="12" t="s">
        <v>89</v>
      </c>
      <c r="B98" s="2">
        <v>4870</v>
      </c>
      <c r="C98" s="60" t="s">
        <v>208</v>
      </c>
    </row>
    <row r="99" spans="1:3" ht="15.75" thickBot="1" x14ac:dyDescent="0.3">
      <c r="A99" s="41" t="s">
        <v>90</v>
      </c>
      <c r="B99" s="45">
        <v>27620</v>
      </c>
      <c r="C99" s="60"/>
    </row>
    <row r="100" spans="1:3" x14ac:dyDescent="0.25">
      <c r="A100" s="6" t="s">
        <v>91</v>
      </c>
      <c r="B100" s="9">
        <v>800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200</v>
      </c>
      <c r="C103" s="60" t="s">
        <v>7</v>
      </c>
    </row>
    <row r="104" spans="1:3" x14ac:dyDescent="0.25">
      <c r="A104" s="8" t="s">
        <v>94</v>
      </c>
      <c r="B104" s="9">
        <v>800</v>
      </c>
      <c r="C104" s="60" t="s">
        <v>7</v>
      </c>
    </row>
    <row r="105" spans="1:3" x14ac:dyDescent="0.25">
      <c r="A105" s="8" t="s">
        <v>95</v>
      </c>
      <c r="B105" s="9">
        <v>400</v>
      </c>
      <c r="C105" s="60" t="s">
        <v>7</v>
      </c>
    </row>
    <row r="106" spans="1:3" x14ac:dyDescent="0.25">
      <c r="A106" s="8" t="s">
        <v>96</v>
      </c>
      <c r="B106" s="9">
        <v>1260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1200</v>
      </c>
      <c r="C109" s="60" t="s">
        <v>7</v>
      </c>
    </row>
    <row r="110" spans="1:3" x14ac:dyDescent="0.25">
      <c r="A110" s="8" t="s">
        <v>99</v>
      </c>
      <c r="B110" s="9">
        <v>6000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800</v>
      </c>
      <c r="C113" s="60" t="s">
        <v>7</v>
      </c>
    </row>
    <row r="114" spans="1:3" x14ac:dyDescent="0.25">
      <c r="A114" s="8" t="s">
        <v>102</v>
      </c>
      <c r="B114" s="9">
        <v>1200</v>
      </c>
      <c r="C114" s="60" t="s">
        <v>7</v>
      </c>
    </row>
    <row r="115" spans="1:3" x14ac:dyDescent="0.25">
      <c r="A115" s="8" t="s">
        <v>103</v>
      </c>
      <c r="B115" s="9">
        <v>100</v>
      </c>
      <c r="C115" s="60" t="s">
        <v>7</v>
      </c>
    </row>
    <row r="116" spans="1:3" x14ac:dyDescent="0.25">
      <c r="A116" s="8" t="s">
        <v>104</v>
      </c>
      <c r="B116" s="9">
        <v>1050</v>
      </c>
      <c r="C116" s="60" t="s">
        <v>7</v>
      </c>
    </row>
    <row r="117" spans="1:3" x14ac:dyDescent="0.25">
      <c r="A117" s="8" t="s">
        <v>105</v>
      </c>
      <c r="B117" s="9">
        <v>200</v>
      </c>
      <c r="C117" s="60" t="s">
        <v>7</v>
      </c>
    </row>
    <row r="118" spans="1:3" x14ac:dyDescent="0.25">
      <c r="A118" s="8" t="s">
        <v>106</v>
      </c>
      <c r="B118" s="9">
        <v>1200</v>
      </c>
      <c r="C118" s="60" t="s">
        <v>7</v>
      </c>
    </row>
    <row r="119" spans="1:3" x14ac:dyDescent="0.25">
      <c r="A119" s="8" t="s">
        <v>107</v>
      </c>
      <c r="B119" s="9">
        <v>4500</v>
      </c>
      <c r="C119" s="60" t="s">
        <v>203</v>
      </c>
    </row>
    <row r="120" spans="1:3" x14ac:dyDescent="0.25">
      <c r="A120" s="23" t="s">
        <v>108</v>
      </c>
      <c r="B120" s="9">
        <v>2120</v>
      </c>
      <c r="C120" s="60" t="s">
        <v>7</v>
      </c>
    </row>
    <row r="121" spans="1:3" x14ac:dyDescent="0.25">
      <c r="A121" s="8" t="s">
        <v>109</v>
      </c>
      <c r="B121" s="9">
        <v>900</v>
      </c>
      <c r="C121" s="60" t="s">
        <v>7</v>
      </c>
    </row>
    <row r="122" spans="1:3" x14ac:dyDescent="0.25">
      <c r="A122" s="8" t="s">
        <v>110</v>
      </c>
      <c r="B122" s="9">
        <v>1200</v>
      </c>
      <c r="C122" s="60" t="s">
        <v>8</v>
      </c>
    </row>
    <row r="123" spans="1:3" ht="15.75" thickBot="1" x14ac:dyDescent="0.3">
      <c r="A123" s="12" t="s">
        <v>111</v>
      </c>
      <c r="B123" s="9">
        <v>900</v>
      </c>
      <c r="C123" s="60" t="s">
        <v>7</v>
      </c>
    </row>
    <row r="124" spans="1:3" ht="15.75" thickBot="1" x14ac:dyDescent="0.3">
      <c r="A124" s="41" t="s">
        <v>112</v>
      </c>
      <c r="B124" s="45">
        <v>193602</v>
      </c>
      <c r="C124" s="60"/>
    </row>
    <row r="125" spans="1:3" x14ac:dyDescent="0.25">
      <c r="A125" s="6" t="s">
        <v>113</v>
      </c>
      <c r="B125" s="9">
        <v>5850</v>
      </c>
      <c r="C125" s="60" t="s">
        <v>155</v>
      </c>
    </row>
    <row r="126" spans="1:3" x14ac:dyDescent="0.25">
      <c r="A126" s="8" t="s">
        <v>114</v>
      </c>
      <c r="B126" s="9">
        <v>350</v>
      </c>
      <c r="C126" s="60" t="s">
        <v>7</v>
      </c>
    </row>
    <row r="127" spans="1:3" x14ac:dyDescent="0.25">
      <c r="A127" s="8" t="s">
        <v>162</v>
      </c>
      <c r="B127" s="9">
        <v>100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11037</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33300</v>
      </c>
      <c r="C135" s="60" t="s">
        <v>155</v>
      </c>
    </row>
    <row r="136" spans="1:3" x14ac:dyDescent="0.25">
      <c r="A136" s="8" t="s">
        <v>122</v>
      </c>
      <c r="B136" s="9">
        <v>62140</v>
      </c>
      <c r="C136" s="60" t="s">
        <v>155</v>
      </c>
    </row>
    <row r="137" spans="1:3" x14ac:dyDescent="0.25">
      <c r="A137" s="8" t="s">
        <v>158</v>
      </c>
      <c r="B137" s="9">
        <v>65777</v>
      </c>
      <c r="C137" s="60" t="s">
        <v>7</v>
      </c>
    </row>
    <row r="138" spans="1:3" x14ac:dyDescent="0.25">
      <c r="A138" s="8" t="s">
        <v>123</v>
      </c>
      <c r="B138" s="9">
        <v>2400</v>
      </c>
      <c r="C138" s="60" t="s">
        <v>155</v>
      </c>
    </row>
    <row r="139" spans="1:3" x14ac:dyDescent="0.25">
      <c r="A139" s="8" t="s">
        <v>124</v>
      </c>
      <c r="B139" s="9">
        <v>3100</v>
      </c>
      <c r="C139" s="60" t="s">
        <v>7</v>
      </c>
    </row>
    <row r="140" spans="1:3" x14ac:dyDescent="0.25">
      <c r="A140" s="8" t="s">
        <v>125</v>
      </c>
      <c r="B140" s="9">
        <v>1800</v>
      </c>
      <c r="C140" s="60" t="s">
        <v>7</v>
      </c>
    </row>
    <row r="141" spans="1:3" x14ac:dyDescent="0.25">
      <c r="A141" s="8" t="s">
        <v>164</v>
      </c>
      <c r="B141" s="9">
        <v>128</v>
      </c>
      <c r="C141" s="60" t="s">
        <v>7</v>
      </c>
    </row>
    <row r="142" spans="1:3" x14ac:dyDescent="0.25">
      <c r="A142" s="8" t="s">
        <v>126</v>
      </c>
      <c r="B142" s="9">
        <v>1300</v>
      </c>
      <c r="C142" s="60" t="s">
        <v>155</v>
      </c>
    </row>
    <row r="143" spans="1:3" x14ac:dyDescent="0.25">
      <c r="A143" s="8" t="s">
        <v>127</v>
      </c>
      <c r="B143" s="9">
        <v>1600</v>
      </c>
      <c r="C143" s="60" t="s">
        <v>7</v>
      </c>
    </row>
    <row r="144" spans="1:3" x14ac:dyDescent="0.25">
      <c r="A144" s="8" t="s">
        <v>128</v>
      </c>
      <c r="B144" s="9">
        <v>400</v>
      </c>
      <c r="C144" s="60" t="s">
        <v>155</v>
      </c>
    </row>
    <row r="145" spans="1:3" ht="15.75" thickBot="1" x14ac:dyDescent="0.3">
      <c r="A145" s="17" t="s">
        <v>129</v>
      </c>
      <c r="B145" s="9">
        <v>800</v>
      </c>
      <c r="C145" s="60" t="s">
        <v>159</v>
      </c>
    </row>
    <row r="146" spans="1:3" ht="15.75" thickBot="1" x14ac:dyDescent="0.3">
      <c r="A146" s="47" t="s">
        <v>152</v>
      </c>
      <c r="B146" s="72">
        <v>1985</v>
      </c>
      <c r="C146" s="60" t="s">
        <v>8</v>
      </c>
    </row>
    <row r="147" spans="1:3" ht="15.75" thickBot="1" x14ac:dyDescent="0.3">
      <c r="A147" s="48" t="s">
        <v>130</v>
      </c>
      <c r="B147" s="72">
        <v>3200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500</v>
      </c>
      <c r="C154" s="60" t="s">
        <v>8</v>
      </c>
    </row>
    <row r="155" spans="1:3" ht="16.5" thickBot="1" x14ac:dyDescent="0.3">
      <c r="A155" s="29" t="s">
        <v>136</v>
      </c>
      <c r="B155" s="30">
        <v>2791901</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35127</v>
      </c>
      <c r="C163" s="60" t="s">
        <v>159</v>
      </c>
    </row>
    <row r="164" spans="1:3" x14ac:dyDescent="0.25">
      <c r="A164" s="21" t="s">
        <v>142</v>
      </c>
      <c r="B164" s="2">
        <v>2449</v>
      </c>
      <c r="C164" s="60" t="s">
        <v>204</v>
      </c>
    </row>
    <row r="165" spans="1:3" x14ac:dyDescent="0.25">
      <c r="A165" s="21" t="s">
        <v>176</v>
      </c>
      <c r="B165" s="2">
        <v>15</v>
      </c>
      <c r="C165" s="60" t="s">
        <v>8</v>
      </c>
    </row>
    <row r="166" spans="1:3" x14ac:dyDescent="0.25">
      <c r="A166" s="19" t="s">
        <v>143</v>
      </c>
      <c r="B166" s="2">
        <v>550</v>
      </c>
      <c r="C166" s="60" t="s">
        <v>8</v>
      </c>
    </row>
    <row r="167" spans="1:3" x14ac:dyDescent="0.25">
      <c r="A167" s="22" t="s">
        <v>144</v>
      </c>
      <c r="B167" s="2">
        <v>22700</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90922</v>
      </c>
      <c r="C171" s="61"/>
    </row>
    <row r="172" spans="1:3" ht="16.5" thickBot="1" x14ac:dyDescent="0.3">
      <c r="A172" s="34" t="s">
        <v>148</v>
      </c>
      <c r="B172" s="35">
        <v>2882823</v>
      </c>
      <c r="C172" s="62"/>
    </row>
    <row r="173" spans="1:3" x14ac:dyDescent="0.25">
      <c r="B173" s="147" t="s">
        <v>179</v>
      </c>
      <c r="C173" s="147"/>
    </row>
    <row r="174" spans="1:3" x14ac:dyDescent="0.25">
      <c r="B174" s="147" t="s">
        <v>181</v>
      </c>
      <c r="C174" s="147"/>
    </row>
    <row r="175" spans="1:3" x14ac:dyDescent="0.25">
      <c r="B175" s="147"/>
      <c r="C175" s="147"/>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opLeftCell="B16" zoomScale="120" zoomScaleNormal="120" workbookViewId="0">
      <selection activeCell="B96" sqref="B96"/>
    </sheetView>
  </sheetViews>
  <sheetFormatPr defaultRowHeight="15" x14ac:dyDescent="0.2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44" t="s">
        <v>0</v>
      </c>
      <c r="C2" s="144"/>
      <c r="D2" s="144"/>
      <c r="E2" s="144"/>
      <c r="F2" s="144"/>
      <c r="G2" s="144"/>
      <c r="H2" s="144"/>
    </row>
    <row r="3" spans="2:11" x14ac:dyDescent="0.25">
      <c r="B3" s="145" t="s">
        <v>210</v>
      </c>
      <c r="C3" s="145"/>
      <c r="D3" s="145"/>
      <c r="E3" s="145"/>
      <c r="F3" s="145"/>
      <c r="G3" s="145"/>
      <c r="H3" s="145"/>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75">
        <f>2155096+335323+29000+C22+C29+70000+2965+13592+3162</f>
        <v>2681262</v>
      </c>
      <c r="D7" s="109"/>
      <c r="E7" s="7"/>
      <c r="F7" s="64"/>
      <c r="G7" s="64"/>
      <c r="H7" s="2">
        <f>SUM(C7:G7)</f>
        <v>2681262</v>
      </c>
    </row>
    <row r="8" spans="2:11" x14ac:dyDescent="0.25">
      <c r="B8" s="8" t="s">
        <v>10</v>
      </c>
      <c r="C8" s="73">
        <f>28311+2392</f>
        <v>30703</v>
      </c>
      <c r="D8" s="73"/>
      <c r="E8" s="9"/>
      <c r="F8" s="64"/>
      <c r="G8" s="64"/>
      <c r="H8" s="2">
        <f t="shared" ref="H8:H13" si="0">SUM(C8:G8)</f>
        <v>30703</v>
      </c>
    </row>
    <row r="9" spans="2:11" x14ac:dyDescent="0.25">
      <c r="B9" s="8" t="s">
        <v>195</v>
      </c>
      <c r="C9" s="9"/>
      <c r="D9" s="9"/>
      <c r="E9" s="102">
        <f>54750+2000+2500+530+750+670-3000-930-1070+550+1775+2000+6860</f>
        <v>67385</v>
      </c>
      <c r="F9" s="64"/>
      <c r="G9" s="64"/>
      <c r="H9" s="2">
        <f t="shared" si="0"/>
        <v>67385</v>
      </c>
    </row>
    <row r="10" spans="2:11" x14ac:dyDescent="0.25">
      <c r="B10" s="8" t="s">
        <v>169</v>
      </c>
      <c r="C10" s="9">
        <v>2527</v>
      </c>
      <c r="D10" s="9"/>
      <c r="E10" s="9">
        <f>4500+3000+250+900</f>
        <v>8650</v>
      </c>
      <c r="F10" s="64"/>
      <c r="G10" s="64"/>
      <c r="H10" s="2">
        <f t="shared" si="0"/>
        <v>11177</v>
      </c>
    </row>
    <row r="11" spans="2:11" x14ac:dyDescent="0.25">
      <c r="B11" s="8" t="s">
        <v>170</v>
      </c>
      <c r="C11" s="9"/>
      <c r="D11" s="9">
        <f>80011+700</f>
        <v>80711</v>
      </c>
      <c r="E11" s="9"/>
      <c r="F11" s="64">
        <f>729+4000+1870</f>
        <v>6599</v>
      </c>
      <c r="G11" s="64"/>
      <c r="H11" s="2">
        <f>SUM(C11:G11)</f>
        <v>87310</v>
      </c>
    </row>
    <row r="12" spans="2:11" x14ac:dyDescent="0.25">
      <c r="B12" s="8" t="s">
        <v>196</v>
      </c>
      <c r="C12" s="9"/>
      <c r="D12" s="9"/>
      <c r="E12" s="9"/>
      <c r="F12" s="106">
        <f>500+181</f>
        <v>681</v>
      </c>
      <c r="G12" s="64"/>
      <c r="H12" s="2">
        <f t="shared" si="0"/>
        <v>681</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2717103</v>
      </c>
      <c r="D15" s="30">
        <f>SUM(D7:D14)</f>
        <v>80711</v>
      </c>
      <c r="E15" s="30">
        <f>SUM(E7:E14)</f>
        <v>81685</v>
      </c>
      <c r="F15" s="30">
        <f t="shared" ref="F15:G15" si="1">SUM(F7:F14)</f>
        <v>7280</v>
      </c>
      <c r="G15" s="30">
        <f t="shared" si="1"/>
        <v>3085</v>
      </c>
      <c r="H15" s="30">
        <f>SUM(H7:H14)</f>
        <v>2889864</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45">
        <v>80</v>
      </c>
      <c r="E19" s="105">
        <f>22550-550+3000</f>
        <v>25000</v>
      </c>
      <c r="F19" s="105">
        <v>181</v>
      </c>
      <c r="G19" s="45">
        <v>288</v>
      </c>
      <c r="H19" s="45">
        <f>SUM(C19:G19)</f>
        <v>2278655</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45">
        <f>1800+100</f>
        <v>1900</v>
      </c>
      <c r="F21" s="45"/>
      <c r="G21" s="45"/>
      <c r="H21" s="45">
        <f t="shared" si="2"/>
        <v>1900</v>
      </c>
    </row>
    <row r="22" spans="2:10" ht="15.75" thickBot="1" x14ac:dyDescent="0.3">
      <c r="B22" s="41" t="s">
        <v>19</v>
      </c>
      <c r="C22" s="42">
        <f>+C24+C25+C26+C27+C28+C23</f>
        <v>42624</v>
      </c>
      <c r="D22" s="42"/>
      <c r="E22" s="42">
        <f t="shared" ref="E22:G22" si="3">+E24+E25+E26+E27+E28</f>
        <v>2100</v>
      </c>
      <c r="F22" s="42"/>
      <c r="G22" s="42">
        <f t="shared" si="3"/>
        <v>0</v>
      </c>
      <c r="H22" s="42">
        <f>+H23+H24+H25+H26+H27+H28</f>
        <v>44724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
        <f>750+150+500</f>
        <v>1400</v>
      </c>
      <c r="D27" s="1"/>
      <c r="E27" s="1">
        <v>100</v>
      </c>
      <c r="F27" s="1"/>
      <c r="G27" s="9"/>
      <c r="H27" s="7">
        <f t="shared" si="4"/>
        <v>1500</v>
      </c>
    </row>
    <row r="28" spans="2:10" ht="15.75" thickBot="1" x14ac:dyDescent="0.3">
      <c r="B28" s="8" t="s">
        <v>167</v>
      </c>
      <c r="C28" s="74">
        <f>5600+17774-104</f>
        <v>23270</v>
      </c>
      <c r="D28" s="74"/>
      <c r="E28" s="74">
        <v>900</v>
      </c>
      <c r="F28" s="90"/>
      <c r="G28" s="13"/>
      <c r="H28" s="7">
        <f t="shared" si="4"/>
        <v>24170</v>
      </c>
    </row>
    <row r="29" spans="2:10" ht="15.75" thickBot="1" x14ac:dyDescent="0.3">
      <c r="B29" s="41" t="s">
        <v>24</v>
      </c>
      <c r="C29" s="45">
        <f t="shared" ref="C29" si="5">+C30</f>
        <v>29500</v>
      </c>
      <c r="D29" s="45"/>
      <c r="E29" s="45">
        <f>+E30+E31</f>
        <v>535</v>
      </c>
      <c r="F29" s="101"/>
      <c r="G29" s="87"/>
      <c r="H29" s="45">
        <f>H30+H31</f>
        <v>30035</v>
      </c>
    </row>
    <row r="30" spans="2:10" x14ac:dyDescent="0.25">
      <c r="B30" s="10" t="s">
        <v>25</v>
      </c>
      <c r="C30" s="13">
        <v>29500</v>
      </c>
      <c r="D30" s="37"/>
      <c r="E30" s="115">
        <f>200+25</f>
        <v>225</v>
      </c>
      <c r="F30" s="37"/>
      <c r="G30" s="9"/>
      <c r="H30" s="88">
        <f>SUM(C30:E30)</f>
        <v>29725</v>
      </c>
    </row>
    <row r="31" spans="2:10" x14ac:dyDescent="0.25">
      <c r="B31" s="53" t="s">
        <v>178</v>
      </c>
      <c r="C31" s="9"/>
      <c r="D31" s="9"/>
      <c r="E31" s="9">
        <v>310</v>
      </c>
      <c r="F31" s="9"/>
      <c r="G31" s="9"/>
      <c r="H31" s="9">
        <f>SUM(C31:E31)</f>
        <v>310</v>
      </c>
    </row>
    <row r="32" spans="2:10" ht="15.75" thickBot="1" x14ac:dyDescent="0.3">
      <c r="B32" s="48" t="s">
        <v>26</v>
      </c>
      <c r="C32" s="86">
        <f>SUM(C33:C56)</f>
        <v>98382</v>
      </c>
      <c r="D32" s="86"/>
      <c r="E32" s="86">
        <f t="shared" ref="E32" si="6">SUM(E33:E56)</f>
        <v>11760</v>
      </c>
      <c r="F32" s="86"/>
      <c r="G32" s="86"/>
      <c r="H32" s="86">
        <f>SUM(H33:H56)</f>
        <v>110142</v>
      </c>
    </row>
    <row r="33" spans="2:11" x14ac:dyDescent="0.25">
      <c r="B33" s="53" t="s">
        <v>27</v>
      </c>
      <c r="C33" s="9">
        <v>2000</v>
      </c>
      <c r="D33" s="9"/>
      <c r="E33" s="9">
        <f>200+100</f>
        <v>300</v>
      </c>
      <c r="F33" s="9"/>
      <c r="G33" s="9"/>
      <c r="H33" s="9">
        <f>SUM(C33:G33)</f>
        <v>2300</v>
      </c>
    </row>
    <row r="34" spans="2:11" x14ac:dyDescent="0.25">
      <c r="B34" s="53" t="s">
        <v>28</v>
      </c>
      <c r="C34" s="73">
        <f>27392</f>
        <v>27392</v>
      </c>
      <c r="D34" s="73"/>
      <c r="E34" s="73">
        <f>500+250</f>
        <v>750</v>
      </c>
      <c r="F34" s="66"/>
      <c r="G34" s="9"/>
      <c r="H34" s="9">
        <f t="shared" ref="H34:H56" si="7">SUM(C34:G34)</f>
        <v>28142</v>
      </c>
    </row>
    <row r="35" spans="2:11" x14ac:dyDescent="0.25">
      <c r="B35" s="53" t="s">
        <v>29</v>
      </c>
      <c r="C35" s="73">
        <f>11000+1500+1000</f>
        <v>13500</v>
      </c>
      <c r="D35" s="73"/>
      <c r="E35" s="73">
        <f>100+1400</f>
        <v>1500</v>
      </c>
      <c r="F35" s="66"/>
      <c r="G35" s="9"/>
      <c r="H35" s="9">
        <f t="shared" si="7"/>
        <v>15000</v>
      </c>
    </row>
    <row r="36" spans="2:11" x14ac:dyDescent="0.25">
      <c r="B36" s="53" t="s">
        <v>30</v>
      </c>
      <c r="C36" s="73">
        <v>100</v>
      </c>
      <c r="D36" s="73"/>
      <c r="E36" s="9"/>
      <c r="F36" s="9"/>
      <c r="G36" s="9"/>
      <c r="H36" s="9">
        <f t="shared" si="7"/>
        <v>100</v>
      </c>
    </row>
    <row r="37" spans="2:11" x14ac:dyDescent="0.25">
      <c r="B37" s="53" t="s">
        <v>31</v>
      </c>
      <c r="C37" s="73">
        <f>21000+2000</f>
        <v>23000</v>
      </c>
      <c r="D37" s="73"/>
      <c r="E37" s="108">
        <f>2500+1600</f>
        <v>4100</v>
      </c>
      <c r="F37" s="66"/>
      <c r="G37" s="9"/>
      <c r="H37" s="9">
        <f t="shared" si="7"/>
        <v>27100</v>
      </c>
    </row>
    <row r="38" spans="2:11" x14ac:dyDescent="0.25">
      <c r="B38" s="53" t="s">
        <v>32</v>
      </c>
      <c r="C38" s="73">
        <f>6540-200</f>
        <v>6340</v>
      </c>
      <c r="D38" s="73"/>
      <c r="E38" s="73">
        <v>120</v>
      </c>
      <c r="F38" s="9"/>
      <c r="G38" s="9"/>
      <c r="H38" s="9">
        <f t="shared" si="7"/>
        <v>6460</v>
      </c>
      <c r="K38" s="56"/>
    </row>
    <row r="39" spans="2:11" x14ac:dyDescent="0.25">
      <c r="B39" s="53" t="s">
        <v>33</v>
      </c>
      <c r="C39" s="9">
        <f>500-50</f>
        <v>450</v>
      </c>
      <c r="D39" s="9"/>
      <c r="E39" s="9"/>
      <c r="F39" s="9"/>
      <c r="G39" s="9"/>
      <c r="H39" s="9">
        <f t="shared" si="7"/>
        <v>450</v>
      </c>
    </row>
    <row r="40" spans="2:11" x14ac:dyDescent="0.25">
      <c r="B40" s="53" t="s">
        <v>34</v>
      </c>
      <c r="C40" s="9">
        <f>550-50</f>
        <v>500</v>
      </c>
      <c r="D40" s="9"/>
      <c r="E40" s="9"/>
      <c r="F40" s="9"/>
      <c r="G40" s="9"/>
      <c r="H40" s="9">
        <f t="shared" si="7"/>
        <v>500</v>
      </c>
    </row>
    <row r="41" spans="2:11" x14ac:dyDescent="0.25">
      <c r="B41" s="53" t="s">
        <v>35</v>
      </c>
      <c r="C41" s="9">
        <f>6000-800</f>
        <v>5200</v>
      </c>
      <c r="D41" s="9"/>
      <c r="E41" s="9"/>
      <c r="F41" s="9"/>
      <c r="G41" s="9"/>
      <c r="H41" s="9">
        <f t="shared" si="7"/>
        <v>5200</v>
      </c>
    </row>
    <row r="42" spans="2:11" x14ac:dyDescent="0.25">
      <c r="B42" s="53" t="s">
        <v>36</v>
      </c>
      <c r="C42" s="9">
        <v>3600</v>
      </c>
      <c r="D42" s="9"/>
      <c r="E42" s="9">
        <v>3600</v>
      </c>
      <c r="F42" s="9"/>
      <c r="G42" s="9"/>
      <c r="H42" s="9">
        <f t="shared" si="7"/>
        <v>7200</v>
      </c>
    </row>
    <row r="43" spans="2:11" x14ac:dyDescent="0.25">
      <c r="B43" s="53" t="s">
        <v>37</v>
      </c>
      <c r="C43" s="9">
        <f>6600-1000</f>
        <v>5600</v>
      </c>
      <c r="D43" s="9"/>
      <c r="E43" s="9"/>
      <c r="F43" s="9"/>
      <c r="G43" s="9"/>
      <c r="H43" s="9">
        <f t="shared" si="7"/>
        <v>5600</v>
      </c>
    </row>
    <row r="44" spans="2:11" x14ac:dyDescent="0.25">
      <c r="B44" s="53" t="s">
        <v>38</v>
      </c>
      <c r="C44" s="9">
        <v>2700</v>
      </c>
      <c r="D44" s="9"/>
      <c r="E44" s="9"/>
      <c r="F44" s="9"/>
      <c r="G44" s="9"/>
      <c r="H44" s="9">
        <f t="shared" si="7"/>
        <v>2700</v>
      </c>
    </row>
    <row r="45" spans="2:11" x14ac:dyDescent="0.25">
      <c r="B45" s="53" t="s">
        <v>39</v>
      </c>
      <c r="C45" s="9">
        <v>1500</v>
      </c>
      <c r="D45" s="9"/>
      <c r="E45" s="9"/>
      <c r="F45" s="9"/>
      <c r="G45" s="9"/>
      <c r="H45" s="9">
        <f t="shared" si="7"/>
        <v>1500</v>
      </c>
    </row>
    <row r="46" spans="2:11" x14ac:dyDescent="0.25">
      <c r="B46" s="53" t="s">
        <v>40</v>
      </c>
      <c r="C46" s="9"/>
      <c r="D46" s="9"/>
      <c r="E46" s="9"/>
      <c r="F46" s="9"/>
      <c r="G46" s="9"/>
      <c r="H46" s="9">
        <f t="shared" si="7"/>
        <v>0</v>
      </c>
    </row>
    <row r="47" spans="2:11" x14ac:dyDescent="0.25">
      <c r="B47" s="53" t="s">
        <v>41</v>
      </c>
      <c r="C47" s="9">
        <v>600</v>
      </c>
      <c r="D47" s="9"/>
      <c r="E47" s="9">
        <v>50</v>
      </c>
      <c r="F47" s="9"/>
      <c r="G47" s="9"/>
      <c r="H47" s="9">
        <f t="shared" si="7"/>
        <v>650</v>
      </c>
    </row>
    <row r="48" spans="2:11" x14ac:dyDescent="0.25">
      <c r="B48" s="53" t="s">
        <v>42</v>
      </c>
      <c r="C48" s="9">
        <v>350</v>
      </c>
      <c r="D48" s="9"/>
      <c r="E48" s="9"/>
      <c r="F48" s="9"/>
      <c r="G48" s="9"/>
      <c r="H48" s="9">
        <f t="shared" si="7"/>
        <v>350</v>
      </c>
    </row>
    <row r="49" spans="2:8" x14ac:dyDescent="0.25">
      <c r="B49" s="53" t="s">
        <v>43</v>
      </c>
      <c r="C49" s="9">
        <v>550</v>
      </c>
      <c r="D49" s="9"/>
      <c r="E49" s="9"/>
      <c r="F49" s="9"/>
      <c r="G49" s="9"/>
      <c r="H49" s="9">
        <f t="shared" si="7"/>
        <v>550</v>
      </c>
    </row>
    <row r="50" spans="2:8" x14ac:dyDescent="0.25">
      <c r="B50" s="53" t="s">
        <v>44</v>
      </c>
      <c r="C50" s="9">
        <v>3800</v>
      </c>
      <c r="D50" s="9"/>
      <c r="E50" s="9"/>
      <c r="F50" s="9"/>
      <c r="G50" s="9"/>
      <c r="H50" s="9">
        <f t="shared" si="7"/>
        <v>3800</v>
      </c>
    </row>
    <row r="51" spans="2:8" x14ac:dyDescent="0.25">
      <c r="B51" s="53" t="s">
        <v>45</v>
      </c>
      <c r="C51" s="9">
        <v>1200</v>
      </c>
      <c r="D51" s="9"/>
      <c r="E51" s="9"/>
      <c r="F51" s="9"/>
      <c r="G51" s="9"/>
      <c r="H51" s="9">
        <f t="shared" si="7"/>
        <v>1200</v>
      </c>
    </row>
    <row r="52" spans="2:8" x14ac:dyDescent="0.25">
      <c r="B52" s="53" t="s">
        <v>46</v>
      </c>
      <c r="C52" s="9"/>
      <c r="D52" s="9"/>
      <c r="E52" s="9">
        <v>280</v>
      </c>
      <c r="F52" s="9"/>
      <c r="G52" s="9"/>
      <c r="H52" s="9">
        <f t="shared" si="7"/>
        <v>280</v>
      </c>
    </row>
    <row r="53" spans="2:8" x14ac:dyDescent="0.25">
      <c r="B53" s="53" t="s">
        <v>153</v>
      </c>
      <c r="C53" s="9"/>
      <c r="D53" s="9"/>
      <c r="E53" s="102">
        <f>110+30+220</f>
        <v>360</v>
      </c>
      <c r="F53" s="9"/>
      <c r="G53" s="9"/>
      <c r="H53" s="9">
        <f t="shared" si="7"/>
        <v>360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1376</v>
      </c>
      <c r="F57" s="42"/>
      <c r="G57" s="42"/>
      <c r="H57" s="44">
        <f>SUM(H58:H66)</f>
        <v>1376</v>
      </c>
    </row>
    <row r="58" spans="2:8" x14ac:dyDescent="0.25">
      <c r="B58" s="4" t="s">
        <v>51</v>
      </c>
      <c r="C58" s="7"/>
      <c r="D58" s="7"/>
      <c r="E58" s="7">
        <v>0</v>
      </c>
      <c r="F58" s="7"/>
      <c r="G58" s="7"/>
      <c r="H58" s="7">
        <f>SUM(C58:G58)</f>
        <v>0</v>
      </c>
    </row>
    <row r="59" spans="2:8" x14ac:dyDescent="0.25">
      <c r="B59" s="8" t="s">
        <v>52</v>
      </c>
      <c r="C59" s="9"/>
      <c r="D59" s="9"/>
      <c r="E59" s="9">
        <v>100</v>
      </c>
      <c r="F59" s="9"/>
      <c r="G59" s="9"/>
      <c r="H59" s="7">
        <f t="shared" ref="H59:H66" si="9">SUM(C59:G59)</f>
        <v>100</v>
      </c>
    </row>
    <row r="60" spans="2:8" x14ac:dyDescent="0.25">
      <c r="B60" s="8" t="s">
        <v>53</v>
      </c>
      <c r="C60" s="9"/>
      <c r="D60" s="9"/>
      <c r="E60" s="9">
        <v>600</v>
      </c>
      <c r="F60" s="9"/>
      <c r="G60" s="9"/>
      <c r="H60" s="7">
        <f t="shared" si="9"/>
        <v>600</v>
      </c>
    </row>
    <row r="61" spans="2:8" x14ac:dyDescent="0.25">
      <c r="B61" s="8" t="s">
        <v>54</v>
      </c>
      <c r="C61" s="9"/>
      <c r="D61" s="9"/>
      <c r="E61" s="9">
        <v>50</v>
      </c>
      <c r="F61" s="9"/>
      <c r="G61" s="9"/>
      <c r="H61" s="7">
        <f t="shared" si="9"/>
        <v>50</v>
      </c>
    </row>
    <row r="62" spans="2:8" x14ac:dyDescent="0.25">
      <c r="B62" s="8" t="s">
        <v>55</v>
      </c>
      <c r="C62" s="9"/>
      <c r="D62" s="9"/>
      <c r="E62" s="9">
        <v>100</v>
      </c>
      <c r="F62" s="9"/>
      <c r="G62" s="9"/>
      <c r="H62" s="7">
        <f t="shared" si="9"/>
        <v>100</v>
      </c>
    </row>
    <row r="63" spans="2:8" x14ac:dyDescent="0.25">
      <c r="B63" s="8" t="s">
        <v>56</v>
      </c>
      <c r="C63" s="9"/>
      <c r="D63" s="9"/>
      <c r="E63" s="9">
        <v>100</v>
      </c>
      <c r="F63" s="9"/>
      <c r="G63" s="9"/>
      <c r="H63" s="7">
        <f t="shared" si="9"/>
        <v>100</v>
      </c>
    </row>
    <row r="64" spans="2:8" x14ac:dyDescent="0.25">
      <c r="B64" s="8" t="s">
        <v>57</v>
      </c>
      <c r="C64" s="9"/>
      <c r="D64" s="9"/>
      <c r="E64" s="9">
        <v>100</v>
      </c>
      <c r="F64" s="9"/>
      <c r="G64" s="9"/>
      <c r="H64" s="7">
        <f t="shared" si="9"/>
        <v>100</v>
      </c>
    </row>
    <row r="65" spans="2:8" x14ac:dyDescent="0.25">
      <c r="B65" s="8" t="s">
        <v>58</v>
      </c>
      <c r="C65" s="9"/>
      <c r="D65" s="9"/>
      <c r="E65" s="9">
        <v>50</v>
      </c>
      <c r="F65" s="9"/>
      <c r="G65" s="9"/>
      <c r="H65" s="7">
        <f t="shared" si="9"/>
        <v>50</v>
      </c>
    </row>
    <row r="66" spans="2:8" ht="15.75" thickBot="1" x14ac:dyDescent="0.3">
      <c r="B66" s="12" t="s">
        <v>59</v>
      </c>
      <c r="C66" s="1"/>
      <c r="D66" s="1"/>
      <c r="E66" s="1">
        <f>76+200</f>
        <v>276</v>
      </c>
      <c r="F66" s="1"/>
      <c r="G66" s="1"/>
      <c r="H66" s="7">
        <f t="shared" si="9"/>
        <v>276</v>
      </c>
    </row>
    <row r="67" spans="2:8" ht="15.75" thickBot="1" x14ac:dyDescent="0.3">
      <c r="B67" s="41" t="s">
        <v>60</v>
      </c>
      <c r="C67" s="42">
        <f>SUM(C68:C91)</f>
        <v>20650</v>
      </c>
      <c r="D67" s="42">
        <f>SUM(D68:D91)</f>
        <v>120</v>
      </c>
      <c r="E67" s="42">
        <f>SUM(E68:E91)</f>
        <v>10794</v>
      </c>
      <c r="F67" s="42"/>
      <c r="G67" s="42"/>
      <c r="H67" s="44">
        <f>SUM(H68:H91)</f>
        <v>31564</v>
      </c>
    </row>
    <row r="68" spans="2:8" x14ac:dyDescent="0.25">
      <c r="B68" s="14" t="s">
        <v>165</v>
      </c>
      <c r="C68" s="7"/>
      <c r="D68" s="7"/>
      <c r="E68" s="7">
        <v>300</v>
      </c>
      <c r="F68" s="64"/>
      <c r="G68" s="64"/>
      <c r="H68" s="2">
        <f t="shared" ref="H68:H91" si="10">SUM(C68:G68)</f>
        <v>300</v>
      </c>
    </row>
    <row r="69" spans="2:8" x14ac:dyDescent="0.25">
      <c r="B69" s="14" t="s">
        <v>61</v>
      </c>
      <c r="C69" s="7"/>
      <c r="D69" s="7"/>
      <c r="E69" s="7">
        <f>300+250+50</f>
        <v>600</v>
      </c>
      <c r="F69" s="64"/>
      <c r="G69" s="64"/>
      <c r="H69" s="2">
        <f t="shared" si="10"/>
        <v>600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73">
        <v>7500</v>
      </c>
      <c r="D72" s="73"/>
      <c r="E72" s="9"/>
      <c r="F72" s="64"/>
      <c r="G72" s="64"/>
      <c r="H72" s="2">
        <f t="shared" si="10"/>
        <v>7500</v>
      </c>
    </row>
    <row r="73" spans="2:8" x14ac:dyDescent="0.25">
      <c r="B73" s="8" t="s">
        <v>65</v>
      </c>
      <c r="C73" s="9"/>
      <c r="D73" s="9"/>
      <c r="E73" s="66">
        <f>200+100+150</f>
        <v>450</v>
      </c>
      <c r="F73" s="96"/>
      <c r="G73" s="64"/>
      <c r="H73" s="2">
        <f t="shared" si="10"/>
        <v>450</v>
      </c>
    </row>
    <row r="74" spans="2:8" x14ac:dyDescent="0.25">
      <c r="B74" s="8" t="s">
        <v>66</v>
      </c>
      <c r="C74" s="9">
        <f>4800-500</f>
        <v>4300</v>
      </c>
      <c r="D74" s="9"/>
      <c r="E74" s="73">
        <f>450+250+550+700</f>
        <v>1950</v>
      </c>
      <c r="F74" s="97"/>
      <c r="G74" s="64"/>
      <c r="H74" s="2">
        <f t="shared" si="10"/>
        <v>6250</v>
      </c>
    </row>
    <row r="75" spans="2:8" x14ac:dyDescent="0.25">
      <c r="B75" s="8" t="s">
        <v>67</v>
      </c>
      <c r="C75" s="9"/>
      <c r="D75" s="9"/>
      <c r="E75" s="9">
        <f>400-150-50</f>
        <v>200</v>
      </c>
      <c r="F75" s="64"/>
      <c r="G75" s="64"/>
      <c r="H75" s="2">
        <f t="shared" si="10"/>
        <v>200</v>
      </c>
    </row>
    <row r="76" spans="2:8" x14ac:dyDescent="0.25">
      <c r="B76" s="8" t="s">
        <v>68</v>
      </c>
      <c r="C76" s="9"/>
      <c r="D76" s="9"/>
      <c r="E76" s="9">
        <f>100-100</f>
        <v>0</v>
      </c>
      <c r="F76" s="64"/>
      <c r="G76" s="64"/>
      <c r="H76" s="2">
        <f t="shared" si="10"/>
        <v>0</v>
      </c>
    </row>
    <row r="77" spans="2:8" x14ac:dyDescent="0.25">
      <c r="B77" s="8" t="s">
        <v>69</v>
      </c>
      <c r="C77" s="9"/>
      <c r="D77" s="9"/>
      <c r="E77" s="9">
        <v>100</v>
      </c>
      <c r="F77" s="64"/>
      <c r="G77" s="64"/>
      <c r="H77" s="2">
        <f t="shared" si="10"/>
        <v>100</v>
      </c>
    </row>
    <row r="78" spans="2:8" x14ac:dyDescent="0.25">
      <c r="B78" s="8" t="s">
        <v>70</v>
      </c>
      <c r="C78" s="9"/>
      <c r="D78" s="9"/>
      <c r="E78" s="9">
        <f>100+100</f>
        <v>200</v>
      </c>
      <c r="F78" s="64"/>
      <c r="G78" s="64"/>
      <c r="H78" s="2">
        <f t="shared" si="10"/>
        <v>200</v>
      </c>
    </row>
    <row r="79" spans="2:8" x14ac:dyDescent="0.25">
      <c r="B79" s="8" t="s">
        <v>71</v>
      </c>
      <c r="C79" s="9"/>
      <c r="D79" s="9"/>
      <c r="E79" s="9">
        <v>100</v>
      </c>
      <c r="F79" s="64"/>
      <c r="G79" s="64"/>
      <c r="H79" s="2">
        <f t="shared" si="10"/>
        <v>100</v>
      </c>
    </row>
    <row r="80" spans="2:8" x14ac:dyDescent="0.25">
      <c r="B80" s="8" t="s">
        <v>72</v>
      </c>
      <c r="C80" s="9">
        <f>200-50</f>
        <v>150</v>
      </c>
      <c r="D80" s="9"/>
      <c r="E80" s="9"/>
      <c r="F80" s="64"/>
      <c r="G80" s="64"/>
      <c r="H80" s="2">
        <f t="shared" si="10"/>
        <v>150</v>
      </c>
    </row>
    <row r="81" spans="2:8" x14ac:dyDescent="0.25">
      <c r="B81" s="8" t="s">
        <v>73</v>
      </c>
      <c r="C81" s="9"/>
      <c r="D81" s="9">
        <v>60</v>
      </c>
      <c r="E81" s="9">
        <v>600</v>
      </c>
      <c r="F81" s="64"/>
      <c r="G81" s="64"/>
      <c r="H81" s="2">
        <f t="shared" si="10"/>
        <v>660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9">
        <v>1000</v>
      </c>
      <c r="F84" s="64"/>
      <c r="G84" s="64"/>
      <c r="H84" s="2">
        <f t="shared" si="10"/>
        <v>1000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9">
        <v>5200</v>
      </c>
      <c r="D88" s="9"/>
      <c r="E88" s="9"/>
      <c r="F88" s="64"/>
      <c r="G88" s="64"/>
      <c r="H88" s="2">
        <f t="shared" si="10"/>
        <v>5200</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
        <v>60</v>
      </c>
      <c r="E91" s="1">
        <f>1800-280+100</f>
        <v>1620</v>
      </c>
      <c r="F91" s="37"/>
      <c r="G91" s="37"/>
      <c r="H91" s="2">
        <f t="shared" si="10"/>
        <v>1680</v>
      </c>
    </row>
    <row r="92" spans="2:8" ht="15.75" thickBot="1" x14ac:dyDescent="0.3">
      <c r="B92" s="41" t="s">
        <v>84</v>
      </c>
      <c r="C92" s="45">
        <f>SUM(C93:C98)</f>
        <v>1650</v>
      </c>
      <c r="D92" s="45"/>
      <c r="E92" s="45">
        <f t="shared" ref="E92:G92" si="11">SUM(E93:E98)</f>
        <v>9900</v>
      </c>
      <c r="F92" s="45">
        <f t="shared" si="11"/>
        <v>1870</v>
      </c>
      <c r="G92" s="45">
        <f t="shared" si="11"/>
        <v>0</v>
      </c>
      <c r="H92" s="45">
        <f>SUM(H93:H98)</f>
        <v>13420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9">
        <f>2000+800+1000</f>
        <v>3800</v>
      </c>
      <c r="F95" s="64"/>
      <c r="G95" s="64"/>
      <c r="H95" s="9">
        <f t="shared" si="12"/>
        <v>3800</v>
      </c>
    </row>
    <row r="96" spans="2:8" x14ac:dyDescent="0.25">
      <c r="B96" s="8" t="s">
        <v>87</v>
      </c>
      <c r="C96" s="9">
        <v>1000</v>
      </c>
      <c r="D96" s="9"/>
      <c r="E96" s="102">
        <f>200+300+500+2000</f>
        <v>3000</v>
      </c>
      <c r="F96" s="64"/>
      <c r="G96" s="64"/>
      <c r="H96" s="9">
        <f t="shared" si="12"/>
        <v>4000</v>
      </c>
    </row>
    <row r="97" spans="2:8" x14ac:dyDescent="0.25">
      <c r="B97" s="8" t="s">
        <v>88</v>
      </c>
      <c r="C97" s="9"/>
      <c r="D97" s="9"/>
      <c r="E97" s="9">
        <v>50</v>
      </c>
      <c r="F97" s="64"/>
      <c r="G97" s="64"/>
      <c r="H97" s="9">
        <f t="shared" si="12"/>
        <v>50</v>
      </c>
    </row>
    <row r="98" spans="2:8" ht="15.75" thickBot="1" x14ac:dyDescent="0.3">
      <c r="B98" s="12" t="s">
        <v>89</v>
      </c>
      <c r="C98" s="1"/>
      <c r="D98" s="1"/>
      <c r="E98" s="74">
        <f>3500-500</f>
        <v>3000</v>
      </c>
      <c r="F98" s="98">
        <v>1870</v>
      </c>
      <c r="G98" s="37"/>
      <c r="H98" s="2">
        <f t="shared" si="12"/>
        <v>4870</v>
      </c>
    </row>
    <row r="99" spans="2:8" ht="15.75" thickBot="1" x14ac:dyDescent="0.3">
      <c r="B99" s="41" t="s">
        <v>90</v>
      </c>
      <c r="C99" s="45">
        <f>SUM(C100:C123)</f>
        <v>25260</v>
      </c>
      <c r="D99" s="45"/>
      <c r="E99" s="45">
        <f t="shared" ref="E99:H99" si="13">SUM(E100:E123)</f>
        <v>1860</v>
      </c>
      <c r="F99" s="45">
        <f>SUM(F100:F123)</f>
        <v>500</v>
      </c>
      <c r="G99" s="45">
        <f t="shared" si="13"/>
        <v>0</v>
      </c>
      <c r="H99" s="45">
        <f t="shared" si="13"/>
        <v>27620</v>
      </c>
    </row>
    <row r="100" spans="2:8" x14ac:dyDescent="0.25">
      <c r="B100" s="6" t="s">
        <v>91</v>
      </c>
      <c r="C100" s="75">
        <v>800</v>
      </c>
      <c r="D100" s="75"/>
      <c r="E100" s="7"/>
      <c r="F100" s="7"/>
      <c r="G100" s="7"/>
      <c r="H100" s="9">
        <f>SUM(C100:G100)</f>
        <v>800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73">
        <v>200</v>
      </c>
      <c r="D103" s="73"/>
      <c r="E103" s="9"/>
      <c r="F103" s="9"/>
      <c r="G103" s="9"/>
      <c r="H103" s="9">
        <f t="shared" si="14"/>
        <v>200</v>
      </c>
    </row>
    <row r="104" spans="2:8" x14ac:dyDescent="0.25">
      <c r="B104" s="8" t="s">
        <v>94</v>
      </c>
      <c r="C104" s="73">
        <v>800</v>
      </c>
      <c r="D104" s="73"/>
      <c r="E104" s="9"/>
      <c r="F104" s="9"/>
      <c r="G104" s="9"/>
      <c r="H104" s="9">
        <f t="shared" si="14"/>
        <v>800</v>
      </c>
    </row>
    <row r="105" spans="2:8" x14ac:dyDescent="0.25">
      <c r="B105" s="8" t="s">
        <v>95</v>
      </c>
      <c r="C105" s="73">
        <f>300+100</f>
        <v>400</v>
      </c>
      <c r="D105" s="73"/>
      <c r="E105" s="9"/>
      <c r="F105" s="9"/>
      <c r="G105" s="9"/>
      <c r="H105" s="9">
        <f t="shared" si="14"/>
        <v>400</v>
      </c>
    </row>
    <row r="106" spans="2:8" x14ac:dyDescent="0.25">
      <c r="B106" s="8" t="s">
        <v>96</v>
      </c>
      <c r="C106" s="73">
        <v>1250</v>
      </c>
      <c r="D106" s="73"/>
      <c r="E106" s="9">
        <v>10</v>
      </c>
      <c r="F106" s="9"/>
      <c r="G106" s="9"/>
      <c r="H106" s="9">
        <f t="shared" si="14"/>
        <v>1260</v>
      </c>
    </row>
    <row r="107" spans="2:8" x14ac:dyDescent="0.25">
      <c r="B107" s="8" t="s">
        <v>160</v>
      </c>
      <c r="C107" s="73">
        <v>0</v>
      </c>
      <c r="D107" s="73"/>
      <c r="E107" s="9"/>
      <c r="F107" s="9"/>
      <c r="G107" s="9"/>
      <c r="H107" s="9">
        <f t="shared" si="14"/>
        <v>0</v>
      </c>
    </row>
    <row r="108" spans="2:8" x14ac:dyDescent="0.25">
      <c r="B108" s="8" t="s">
        <v>97</v>
      </c>
      <c r="C108" s="73">
        <v>1200</v>
      </c>
      <c r="D108" s="73"/>
      <c r="E108" s="9"/>
      <c r="F108" s="9"/>
      <c r="G108" s="9"/>
      <c r="H108" s="9">
        <f t="shared" si="14"/>
        <v>1200</v>
      </c>
    </row>
    <row r="109" spans="2:8" x14ac:dyDescent="0.25">
      <c r="B109" s="8" t="s">
        <v>98</v>
      </c>
      <c r="C109" s="73">
        <v>1200</v>
      </c>
      <c r="D109" s="73"/>
      <c r="E109" s="9"/>
      <c r="F109" s="9"/>
      <c r="G109" s="9"/>
      <c r="H109" s="9">
        <f t="shared" si="14"/>
        <v>1200</v>
      </c>
    </row>
    <row r="110" spans="2:8" x14ac:dyDescent="0.25">
      <c r="B110" s="8" t="s">
        <v>99</v>
      </c>
      <c r="C110" s="9">
        <f>5000+1000</f>
        <v>6000</v>
      </c>
      <c r="D110" s="9"/>
      <c r="E110" s="9"/>
      <c r="F110" s="9"/>
      <c r="G110" s="9"/>
      <c r="H110" s="9">
        <f t="shared" si="14"/>
        <v>6000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104">
        <v>900</v>
      </c>
      <c r="D113" s="73"/>
      <c r="E113" s="9"/>
      <c r="F113" s="9"/>
      <c r="G113" s="9"/>
      <c r="H113" s="9">
        <f t="shared" si="14"/>
        <v>900</v>
      </c>
    </row>
    <row r="114" spans="2:12" x14ac:dyDescent="0.25">
      <c r="B114" s="8" t="s">
        <v>102</v>
      </c>
      <c r="C114" s="73">
        <v>1200</v>
      </c>
      <c r="D114" s="73"/>
      <c r="E114" s="9"/>
      <c r="F114" s="9"/>
      <c r="G114" s="9"/>
      <c r="H114" s="9">
        <f t="shared" si="14"/>
        <v>1200</v>
      </c>
    </row>
    <row r="115" spans="2:12" x14ac:dyDescent="0.25">
      <c r="B115" s="8" t="s">
        <v>103</v>
      </c>
      <c r="C115" s="73">
        <v>100</v>
      </c>
      <c r="D115" s="73"/>
      <c r="E115" s="9"/>
      <c r="F115" s="9"/>
      <c r="G115" s="9"/>
      <c r="H115" s="9">
        <f t="shared" si="14"/>
        <v>100</v>
      </c>
    </row>
    <row r="116" spans="2:12" x14ac:dyDescent="0.25">
      <c r="B116" s="8" t="s">
        <v>104</v>
      </c>
      <c r="C116" s="9">
        <v>500</v>
      </c>
      <c r="D116" s="9"/>
      <c r="E116" s="9">
        <f>500+50</f>
        <v>550</v>
      </c>
      <c r="F116" s="9"/>
      <c r="G116" s="9"/>
      <c r="H116" s="9">
        <f t="shared" si="14"/>
        <v>1050</v>
      </c>
    </row>
    <row r="117" spans="2:12" x14ac:dyDescent="0.25">
      <c r="B117" s="8" t="s">
        <v>105</v>
      </c>
      <c r="C117" s="73">
        <v>200</v>
      </c>
      <c r="D117" s="73"/>
      <c r="E117" s="9"/>
      <c r="F117" s="9"/>
      <c r="G117" s="9"/>
      <c r="H117" s="9">
        <f t="shared" si="14"/>
        <v>200</v>
      </c>
    </row>
    <row r="118" spans="2:12" x14ac:dyDescent="0.25">
      <c r="B118" s="8" t="s">
        <v>106</v>
      </c>
      <c r="C118" s="73">
        <v>1200</v>
      </c>
      <c r="D118" s="73"/>
      <c r="E118" s="9"/>
      <c r="F118" s="9"/>
      <c r="G118" s="9"/>
      <c r="H118" s="9">
        <f t="shared" si="14"/>
        <v>1200</v>
      </c>
    </row>
    <row r="119" spans="2:12" x14ac:dyDescent="0.25">
      <c r="B119" s="8" t="s">
        <v>107</v>
      </c>
      <c r="C119" s="73">
        <f>4100-100</f>
        <v>4000</v>
      </c>
      <c r="D119" s="104"/>
      <c r="E119" s="9"/>
      <c r="F119" s="9">
        <v>500</v>
      </c>
      <c r="G119" s="9"/>
      <c r="H119" s="9">
        <f t="shared" si="14"/>
        <v>4500</v>
      </c>
    </row>
    <row r="120" spans="2:12" x14ac:dyDescent="0.25">
      <c r="B120" s="23" t="s">
        <v>108</v>
      </c>
      <c r="C120" s="9">
        <f>1850+340+258+64+120-250-300-82+220-100</f>
        <v>2120</v>
      </c>
      <c r="D120" s="102"/>
      <c r="E120" s="9"/>
      <c r="F120" s="9"/>
      <c r="G120" s="9"/>
      <c r="H120" s="9">
        <f t="shared" si="14"/>
        <v>2120</v>
      </c>
    </row>
    <row r="121" spans="2:12" x14ac:dyDescent="0.25">
      <c r="B121" s="8" t="s">
        <v>109</v>
      </c>
      <c r="C121" s="9">
        <v>900</v>
      </c>
      <c r="D121" s="9"/>
      <c r="E121" s="9"/>
      <c r="F121" s="9"/>
      <c r="G121" s="9"/>
      <c r="H121" s="9">
        <f t="shared" si="14"/>
        <v>900</v>
      </c>
    </row>
    <row r="122" spans="2:12" x14ac:dyDescent="0.25">
      <c r="B122" s="8" t="s">
        <v>110</v>
      </c>
      <c r="C122" s="9"/>
      <c r="D122" s="9"/>
      <c r="E122" s="9">
        <v>1200</v>
      </c>
      <c r="F122" s="9"/>
      <c r="G122" s="9"/>
      <c r="H122" s="9">
        <f t="shared" si="14"/>
        <v>1200</v>
      </c>
      <c r="L122" s="56"/>
    </row>
    <row r="123" spans="2:12" ht="15.75" thickBot="1" x14ac:dyDescent="0.3">
      <c r="B123" s="12" t="s">
        <v>111</v>
      </c>
      <c r="C123" s="121">
        <v>800</v>
      </c>
      <c r="D123" s="36"/>
      <c r="E123" s="1"/>
      <c r="F123" s="1"/>
      <c r="G123" s="36"/>
      <c r="H123" s="9">
        <f t="shared" si="14"/>
        <v>800</v>
      </c>
    </row>
    <row r="124" spans="2:12" ht="15.75" thickBot="1" x14ac:dyDescent="0.3">
      <c r="B124" s="41" t="s">
        <v>112</v>
      </c>
      <c r="C124" s="45">
        <f>SUM(C125:C145)</f>
        <v>187632</v>
      </c>
      <c r="D124" s="45"/>
      <c r="E124" s="45">
        <f t="shared" ref="E124" si="15">SUM(E125:E145)</f>
        <v>5970</v>
      </c>
      <c r="F124" s="45"/>
      <c r="G124" s="45"/>
      <c r="H124" s="45">
        <f>SUM(H125:H145)</f>
        <v>193602</v>
      </c>
      <c r="L124" s="56"/>
    </row>
    <row r="125" spans="2:12" x14ac:dyDescent="0.25">
      <c r="B125" s="6" t="s">
        <v>113</v>
      </c>
      <c r="C125" s="7">
        <v>5700</v>
      </c>
      <c r="D125" s="7"/>
      <c r="E125" s="7">
        <v>150</v>
      </c>
      <c r="F125" s="7"/>
      <c r="G125" s="7"/>
      <c r="H125" s="9">
        <f>SUM(C125:G125)</f>
        <v>5850</v>
      </c>
    </row>
    <row r="126" spans="2:12" x14ac:dyDescent="0.25">
      <c r="B126" s="8" t="s">
        <v>114</v>
      </c>
      <c r="C126" s="73">
        <v>350</v>
      </c>
      <c r="D126" s="73"/>
      <c r="E126" s="9"/>
      <c r="F126" s="9"/>
      <c r="G126" s="9"/>
      <c r="H126" s="9">
        <f t="shared" ref="H126:H145" si="16">SUM(C126:G126)</f>
        <v>350</v>
      </c>
    </row>
    <row r="127" spans="2:12" x14ac:dyDescent="0.25">
      <c r="B127" s="8" t="s">
        <v>162</v>
      </c>
      <c r="C127" s="73">
        <v>100</v>
      </c>
      <c r="D127" s="73"/>
      <c r="E127" s="9"/>
      <c r="F127" s="9"/>
      <c r="G127" s="9"/>
      <c r="H127" s="9">
        <f t="shared" si="16"/>
        <v>100</v>
      </c>
    </row>
    <row r="128" spans="2:12" x14ac:dyDescent="0.25">
      <c r="B128" s="8" t="s">
        <v>115</v>
      </c>
      <c r="C128" s="73">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73">
        <f>8500+1500+72+965-1000</f>
        <v>10037</v>
      </c>
      <c r="D132" s="104"/>
      <c r="E132" s="9">
        <v>1000</v>
      </c>
      <c r="F132" s="9"/>
      <c r="G132" s="9"/>
      <c r="H132" s="9">
        <f t="shared" si="16"/>
        <v>11037</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73">
        <f>21800+5000+5700</f>
        <v>32500</v>
      </c>
      <c r="D135" s="104"/>
      <c r="E135" s="9">
        <f>1000-200</f>
        <v>800</v>
      </c>
      <c r="F135" s="9"/>
      <c r="G135" s="9"/>
      <c r="H135" s="9">
        <f t="shared" si="16"/>
        <v>33300</v>
      </c>
    </row>
    <row r="136" spans="2:8" x14ac:dyDescent="0.25">
      <c r="B136" s="8" t="s">
        <v>122</v>
      </c>
      <c r="C136" s="66">
        <f>53648+7892</f>
        <v>61540</v>
      </c>
      <c r="D136" s="108"/>
      <c r="E136" s="9">
        <f>1000-200-200</f>
        <v>600</v>
      </c>
      <c r="F136" s="9"/>
      <c r="G136" s="66"/>
      <c r="H136" s="9">
        <f t="shared" si="16"/>
        <v>62140</v>
      </c>
    </row>
    <row r="137" spans="2:8" x14ac:dyDescent="0.25">
      <c r="B137" s="8" t="s">
        <v>158</v>
      </c>
      <c r="C137" s="66">
        <f>33077+3200+29000</f>
        <v>65277</v>
      </c>
      <c r="D137" s="66"/>
      <c r="E137" s="9">
        <v>500</v>
      </c>
      <c r="F137" s="9"/>
      <c r="G137" s="9"/>
      <c r="H137" s="9">
        <f t="shared" si="16"/>
        <v>65777</v>
      </c>
    </row>
    <row r="138" spans="2:8" x14ac:dyDescent="0.25">
      <c r="B138" s="8" t="s">
        <v>123</v>
      </c>
      <c r="C138" s="90">
        <v>1200</v>
      </c>
      <c r="D138" s="90"/>
      <c r="E138" s="90">
        <f>1000-500+500+200</f>
        <v>1200</v>
      </c>
      <c r="F138" s="90"/>
      <c r="G138" s="13"/>
      <c r="H138" s="9">
        <f t="shared" si="16"/>
        <v>2400</v>
      </c>
    </row>
    <row r="139" spans="2:8" x14ac:dyDescent="0.25">
      <c r="B139" s="8" t="s">
        <v>124</v>
      </c>
      <c r="C139" s="9">
        <v>3100</v>
      </c>
      <c r="D139" s="9"/>
      <c r="E139" s="9"/>
      <c r="F139" s="9"/>
      <c r="G139" s="9"/>
      <c r="H139" s="9">
        <f t="shared" si="16"/>
        <v>3100</v>
      </c>
    </row>
    <row r="140" spans="2:8" x14ac:dyDescent="0.25">
      <c r="B140" s="8" t="s">
        <v>125</v>
      </c>
      <c r="C140" s="9">
        <v>1800</v>
      </c>
      <c r="D140" s="9"/>
      <c r="E140" s="9"/>
      <c r="F140" s="9"/>
      <c r="G140" s="9"/>
      <c r="H140" s="9">
        <f t="shared" si="16"/>
        <v>1800</v>
      </c>
    </row>
    <row r="141" spans="2:8" x14ac:dyDescent="0.25">
      <c r="B141" s="8" t="s">
        <v>164</v>
      </c>
      <c r="C141" s="9">
        <f>166-38</f>
        <v>128</v>
      </c>
      <c r="D141" s="102"/>
      <c r="E141" s="9"/>
      <c r="F141" s="9"/>
      <c r="G141" s="9"/>
      <c r="H141" s="9">
        <f t="shared" si="16"/>
        <v>128</v>
      </c>
    </row>
    <row r="142" spans="2:8" x14ac:dyDescent="0.25">
      <c r="B142" s="8" t="s">
        <v>126</v>
      </c>
      <c r="C142" s="9">
        <v>1200</v>
      </c>
      <c r="D142" s="9"/>
      <c r="E142" s="9">
        <v>100</v>
      </c>
      <c r="F142" s="9"/>
      <c r="G142" s="9"/>
      <c r="H142" s="9">
        <f t="shared" si="16"/>
        <v>1300</v>
      </c>
    </row>
    <row r="143" spans="2:8" x14ac:dyDescent="0.25">
      <c r="B143" s="8" t="s">
        <v>127</v>
      </c>
      <c r="C143" s="9">
        <v>1600</v>
      </c>
      <c r="D143" s="9"/>
      <c r="E143" s="9"/>
      <c r="F143" s="9"/>
      <c r="G143" s="9"/>
      <c r="H143" s="9">
        <f t="shared" si="16"/>
        <v>1600</v>
      </c>
    </row>
    <row r="144" spans="2:8" x14ac:dyDescent="0.25">
      <c r="B144" s="8" t="s">
        <v>128</v>
      </c>
      <c r="C144" s="66">
        <f>400-100</f>
        <v>300</v>
      </c>
      <c r="D144" s="66"/>
      <c r="E144" s="9">
        <v>100</v>
      </c>
      <c r="F144" s="9"/>
      <c r="G144" s="9"/>
      <c r="H144" s="9">
        <f>SUM(C144:G144)</f>
        <v>400</v>
      </c>
    </row>
    <row r="145" spans="2:8" ht="15.75" thickBot="1" x14ac:dyDescent="0.3">
      <c r="B145" s="17" t="s">
        <v>129</v>
      </c>
      <c r="C145" s="1"/>
      <c r="D145" s="1"/>
      <c r="E145" s="1">
        <f>600+200</f>
        <v>800</v>
      </c>
      <c r="F145" s="1"/>
      <c r="G145" s="1"/>
      <c r="H145" s="9">
        <f t="shared" si="16"/>
        <v>800</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80">
        <f>1500+1500+200</f>
        <v>3200</v>
      </c>
      <c r="F147" s="100"/>
      <c r="G147" s="81"/>
      <c r="H147" s="72">
        <f t="shared" ref="H147" si="17">SUM(C147:G147)</f>
        <v>3200</v>
      </c>
    </row>
    <row r="148" spans="2:8" ht="15.75" thickBot="1" x14ac:dyDescent="0.3">
      <c r="B148" s="47" t="s">
        <v>151</v>
      </c>
      <c r="C148" s="65">
        <f>SUM(C149:C152)</f>
        <v>2000</v>
      </c>
      <c r="D148" s="44"/>
      <c r="E148" s="86">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43">
        <f>200+400+100-200</f>
        <v>500</v>
      </c>
      <c r="F154" s="43"/>
      <c r="G154" s="82"/>
      <c r="H154" s="44">
        <f>SUM(C154:E154)</f>
        <v>500</v>
      </c>
    </row>
    <row r="155" spans="2:8" ht="16.5" thickBot="1" x14ac:dyDescent="0.3">
      <c r="B155" s="29" t="s">
        <v>136</v>
      </c>
      <c r="C155" s="30">
        <f>SUM(C19,C20,C21,C29,C32,C57,C67,C92,C99,C124,C146,C147,C148,C153,C154,C22)</f>
        <v>2717103</v>
      </c>
      <c r="D155" s="30">
        <f>SUM(D19,D20,D21,D29,D32,D57,D67,D92,D99,D124,D146,D147,D148,D153,D154,D22)</f>
        <v>200</v>
      </c>
      <c r="E155" s="30">
        <f>SUM(E19,E20,E21,E29,E32,E57,E67,E92,E99,E124,E146,E147,E148,E153,E154,E22)</f>
        <v>78780</v>
      </c>
      <c r="F155" s="30">
        <f>SUM(F19,F20,F21,F29,F32,F57,F67,F92,F99,F124,F146,F147,F148,F153,F154,F22)</f>
        <v>2551</v>
      </c>
      <c r="G155" s="30">
        <f>SUM(G19,G20,G21,G29,G32,G57,G67,G92,G99,G124,G146,G147,G148,G153,G154,G22)</f>
        <v>288</v>
      </c>
      <c r="H155" s="30">
        <f>SUM(H19,H20,H21,H22,H29,H32,H57,H67,H92,H99,H124,H146,H147,H148,H153,H154)</f>
        <v>2798922</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20"/>
      <c r="E158" s="9"/>
      <c r="F158" s="64"/>
      <c r="G158" s="77"/>
      <c r="H158" s="2">
        <f t="shared" si="20"/>
        <v>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64">
        <v>4000</v>
      </c>
      <c r="G161" s="77"/>
      <c r="H161" s="2">
        <f t="shared" si="20"/>
        <v>4000</v>
      </c>
    </row>
    <row r="162" spans="1:12" x14ac:dyDescent="0.25">
      <c r="B162" s="21" t="s">
        <v>140</v>
      </c>
      <c r="C162" s="20"/>
      <c r="D162" s="20">
        <v>23084</v>
      </c>
      <c r="E162" s="9">
        <f>200-100-50</f>
        <v>50</v>
      </c>
      <c r="F162" s="64"/>
      <c r="G162" s="77"/>
      <c r="H162" s="2">
        <f t="shared" si="20"/>
        <v>23134</v>
      </c>
    </row>
    <row r="163" spans="1:12" x14ac:dyDescent="0.25">
      <c r="B163" s="19" t="s">
        <v>141</v>
      </c>
      <c r="C163" s="20"/>
      <c r="D163" s="20">
        <v>34727</v>
      </c>
      <c r="E163" s="9">
        <f>600-200</f>
        <v>400</v>
      </c>
      <c r="F163" s="64"/>
      <c r="G163" s="77"/>
      <c r="H163" s="2">
        <f t="shared" si="20"/>
        <v>35127</v>
      </c>
    </row>
    <row r="164" spans="1:12" x14ac:dyDescent="0.25">
      <c r="B164" s="21" t="s">
        <v>142</v>
      </c>
      <c r="C164" s="20"/>
      <c r="D164" s="20">
        <v>500</v>
      </c>
      <c r="E164" s="9">
        <f>400+200+150+100+200+20+100+50</f>
        <v>1220</v>
      </c>
      <c r="F164" s="64">
        <v>729</v>
      </c>
      <c r="G164" s="77"/>
      <c r="H164" s="2">
        <f t="shared" si="20"/>
        <v>2449</v>
      </c>
      <c r="K164" s="56"/>
    </row>
    <row r="165" spans="1:12" x14ac:dyDescent="0.25">
      <c r="B165" s="21" t="s">
        <v>176</v>
      </c>
      <c r="C165" s="20"/>
      <c r="D165" s="20"/>
      <c r="E165" s="102">
        <f>15+20</f>
        <v>35</v>
      </c>
      <c r="F165" s="64"/>
      <c r="G165" s="77"/>
      <c r="H165" s="2">
        <f t="shared" si="20"/>
        <v>35</v>
      </c>
    </row>
    <row r="166" spans="1:12" x14ac:dyDescent="0.25">
      <c r="B166" s="19" t="s">
        <v>143</v>
      </c>
      <c r="C166" s="20"/>
      <c r="D166" s="20"/>
      <c r="E166" s="9">
        <f>300-150+100+300</f>
        <v>550</v>
      </c>
      <c r="F166" s="64"/>
      <c r="G166" s="77"/>
      <c r="H166" s="2">
        <f t="shared" si="20"/>
        <v>550</v>
      </c>
    </row>
    <row r="167" spans="1:12" x14ac:dyDescent="0.25">
      <c r="B167" s="22" t="s">
        <v>144</v>
      </c>
      <c r="C167" s="20"/>
      <c r="D167" s="20">
        <v>22200</v>
      </c>
      <c r="E167" s="9">
        <v>500</v>
      </c>
      <c r="F167" s="64"/>
      <c r="G167" s="77"/>
      <c r="H167" s="2">
        <f t="shared" si="20"/>
        <v>22700</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80511</v>
      </c>
      <c r="E171" s="30">
        <f>SUM(E156:E170)</f>
        <v>2905</v>
      </c>
      <c r="F171" s="30">
        <f t="shared" si="21"/>
        <v>4729</v>
      </c>
      <c r="G171" s="30">
        <f t="shared" si="21"/>
        <v>2797</v>
      </c>
      <c r="H171" s="30">
        <f t="shared" si="21"/>
        <v>90942</v>
      </c>
    </row>
    <row r="172" spans="1:12" ht="16.5" customHeight="1" thickBot="1" x14ac:dyDescent="0.3">
      <c r="B172" s="34" t="s">
        <v>148</v>
      </c>
      <c r="C172" s="35">
        <f t="shared" ref="C172:G172" si="22">C155+C171</f>
        <v>2717103</v>
      </c>
      <c r="D172" s="35">
        <f t="shared" si="22"/>
        <v>80711</v>
      </c>
      <c r="E172" s="35">
        <f t="shared" si="22"/>
        <v>81685</v>
      </c>
      <c r="F172" s="35">
        <f>F155+F171</f>
        <v>7280</v>
      </c>
      <c r="G172" s="35">
        <f t="shared" si="22"/>
        <v>3085</v>
      </c>
      <c r="H172" s="35">
        <f>H155+H171</f>
        <v>2889864</v>
      </c>
      <c r="L172" s="56"/>
    </row>
    <row r="173" spans="1:12" ht="96" customHeight="1" x14ac:dyDescent="0.25">
      <c r="A173" s="89"/>
      <c r="B173" s="146" t="s">
        <v>212</v>
      </c>
      <c r="C173" s="146"/>
      <c r="D173" s="146"/>
      <c r="E173" s="146"/>
      <c r="F173" s="146"/>
      <c r="G173" s="146"/>
      <c r="H173" s="146"/>
    </row>
    <row r="174" spans="1:12" ht="15" customHeight="1" x14ac:dyDescent="0.25">
      <c r="E174" s="147" t="s">
        <v>179</v>
      </c>
      <c r="F174" s="147"/>
      <c r="G174" s="147"/>
      <c r="H174" s="147"/>
    </row>
    <row r="175" spans="1:12" ht="1.5" hidden="1" customHeight="1" x14ac:dyDescent="0.25">
      <c r="E175" s="147" t="s">
        <v>180</v>
      </c>
      <c r="F175" s="147"/>
      <c r="G175" s="147"/>
      <c r="H175" s="147"/>
    </row>
    <row r="176" spans="1:12" hidden="1" x14ac:dyDescent="0.25">
      <c r="C176" s="56"/>
      <c r="D176" s="56"/>
      <c r="E176" s="147"/>
      <c r="F176" s="147"/>
      <c r="G176" s="147"/>
      <c r="H176" s="147"/>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topLeftCell="A148" zoomScale="110" zoomScaleNormal="110" workbookViewId="0">
      <selection activeCell="B5" sqref="B5:B172"/>
    </sheetView>
  </sheetViews>
  <sheetFormatPr defaultRowHeight="15" x14ac:dyDescent="0.25"/>
  <cols>
    <col min="1" max="1" width="54.7109375" customWidth="1"/>
    <col min="2" max="2" width="13.5703125" customWidth="1"/>
    <col min="3" max="3" width="12.7109375" customWidth="1"/>
  </cols>
  <sheetData>
    <row r="2" spans="1:3" x14ac:dyDescent="0.25">
      <c r="A2" s="148" t="s">
        <v>0</v>
      </c>
      <c r="B2" s="148"/>
      <c r="C2" s="148"/>
    </row>
    <row r="3" spans="1:3" x14ac:dyDescent="0.25">
      <c r="A3" s="149" t="s">
        <v>210</v>
      </c>
      <c r="B3" s="149"/>
      <c r="C3" s="149"/>
    </row>
    <row r="4" spans="1:3" ht="15.75" thickBot="1" x14ac:dyDescent="0.3">
      <c r="A4" s="59"/>
      <c r="B4" s="5" t="s">
        <v>1</v>
      </c>
      <c r="C4" s="118"/>
    </row>
    <row r="5" spans="1:3" ht="43.5" thickBot="1" x14ac:dyDescent="0.3">
      <c r="A5" s="24" t="s">
        <v>2</v>
      </c>
      <c r="B5" s="25" t="s">
        <v>5</v>
      </c>
      <c r="C5" s="57" t="s">
        <v>154</v>
      </c>
    </row>
    <row r="6" spans="1:3" ht="15.75" x14ac:dyDescent="0.25">
      <c r="A6" s="26" t="s">
        <v>6</v>
      </c>
      <c r="B6" s="28"/>
      <c r="C6" s="28"/>
    </row>
    <row r="7" spans="1:3" x14ac:dyDescent="0.25">
      <c r="A7" s="6" t="s">
        <v>9</v>
      </c>
      <c r="B7" s="2">
        <v>2681262</v>
      </c>
      <c r="C7" s="67" t="s">
        <v>7</v>
      </c>
    </row>
    <row r="8" spans="1:3" x14ac:dyDescent="0.25">
      <c r="A8" s="8" t="s">
        <v>10</v>
      </c>
      <c r="B8" s="2">
        <v>30703</v>
      </c>
      <c r="C8" s="67" t="s">
        <v>7</v>
      </c>
    </row>
    <row r="9" spans="1:3" x14ac:dyDescent="0.25">
      <c r="A9" s="8" t="s">
        <v>195</v>
      </c>
      <c r="B9" s="2">
        <v>67385</v>
      </c>
      <c r="C9" s="67" t="s">
        <v>8</v>
      </c>
    </row>
    <row r="10" spans="1:3" x14ac:dyDescent="0.25">
      <c r="A10" s="8" t="s">
        <v>169</v>
      </c>
      <c r="B10" s="2">
        <v>11177</v>
      </c>
      <c r="C10" s="67" t="s">
        <v>155</v>
      </c>
    </row>
    <row r="11" spans="1:3" x14ac:dyDescent="0.25">
      <c r="A11" s="8" t="s">
        <v>171</v>
      </c>
      <c r="B11" s="2">
        <v>87310</v>
      </c>
      <c r="C11" s="67" t="s">
        <v>202</v>
      </c>
    </row>
    <row r="12" spans="1:3" x14ac:dyDescent="0.25">
      <c r="A12" s="8" t="s">
        <v>196</v>
      </c>
      <c r="B12" s="2">
        <v>681</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2889864</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2278655</v>
      </c>
      <c r="C19" s="63" t="s">
        <v>211</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2">
        <v>44724</v>
      </c>
      <c r="C22" s="69" t="s">
        <v>155</v>
      </c>
    </row>
    <row r="23" spans="1:3" x14ac:dyDescent="0.25">
      <c r="A23" s="110" t="s">
        <v>177</v>
      </c>
      <c r="B23" s="75">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1500</v>
      </c>
      <c r="C27" s="60" t="s">
        <v>155</v>
      </c>
    </row>
    <row r="28" spans="1:3" ht="15.75" thickBot="1" x14ac:dyDescent="0.3">
      <c r="A28" s="8" t="s">
        <v>167</v>
      </c>
      <c r="B28" s="7">
        <v>24170</v>
      </c>
      <c r="C28" s="60" t="s">
        <v>155</v>
      </c>
    </row>
    <row r="29" spans="1:3" ht="15.75" thickBot="1" x14ac:dyDescent="0.3">
      <c r="A29" s="41" t="s">
        <v>24</v>
      </c>
      <c r="B29" s="45">
        <v>30035</v>
      </c>
      <c r="C29" s="60"/>
    </row>
    <row r="30" spans="1:3" x14ac:dyDescent="0.25">
      <c r="A30" s="10" t="s">
        <v>25</v>
      </c>
      <c r="B30" s="88">
        <v>29725</v>
      </c>
      <c r="C30" s="60" t="s">
        <v>155</v>
      </c>
    </row>
    <row r="31" spans="1:3" x14ac:dyDescent="0.25">
      <c r="A31" s="53" t="s">
        <v>178</v>
      </c>
      <c r="B31" s="9">
        <v>310</v>
      </c>
      <c r="C31" s="70" t="s">
        <v>8</v>
      </c>
    </row>
    <row r="32" spans="1:3" ht="15.75" thickBot="1" x14ac:dyDescent="0.3">
      <c r="A32" s="48" t="s">
        <v>26</v>
      </c>
      <c r="B32" s="86">
        <v>110142</v>
      </c>
      <c r="C32" s="70"/>
    </row>
    <row r="33" spans="1:3" x14ac:dyDescent="0.25">
      <c r="A33" s="71" t="s">
        <v>27</v>
      </c>
      <c r="B33" s="9">
        <v>2300</v>
      </c>
      <c r="C33" s="60" t="s">
        <v>155</v>
      </c>
    </row>
    <row r="34" spans="1:3" x14ac:dyDescent="0.25">
      <c r="A34" s="53" t="s">
        <v>28</v>
      </c>
      <c r="B34" s="9">
        <v>28142</v>
      </c>
      <c r="C34" s="60" t="s">
        <v>155</v>
      </c>
    </row>
    <row r="35" spans="1:3" x14ac:dyDescent="0.25">
      <c r="A35" s="53" t="s">
        <v>29</v>
      </c>
      <c r="B35" s="9">
        <v>15000</v>
      </c>
      <c r="C35" s="60" t="s">
        <v>155</v>
      </c>
    </row>
    <row r="36" spans="1:3" x14ac:dyDescent="0.25">
      <c r="A36" s="53" t="s">
        <v>30</v>
      </c>
      <c r="B36" s="9">
        <v>100</v>
      </c>
      <c r="C36" s="69" t="s">
        <v>7</v>
      </c>
    </row>
    <row r="37" spans="1:3" x14ac:dyDescent="0.25">
      <c r="A37" s="53" t="s">
        <v>31</v>
      </c>
      <c r="B37" s="9">
        <v>27100</v>
      </c>
      <c r="C37" s="69" t="s">
        <v>155</v>
      </c>
    </row>
    <row r="38" spans="1:3" x14ac:dyDescent="0.25">
      <c r="A38" s="53" t="s">
        <v>32</v>
      </c>
      <c r="B38" s="9">
        <v>6460</v>
      </c>
      <c r="C38" s="60" t="s">
        <v>7</v>
      </c>
    </row>
    <row r="39" spans="1:3" x14ac:dyDescent="0.25">
      <c r="A39" s="53" t="s">
        <v>33</v>
      </c>
      <c r="B39" s="9">
        <v>450</v>
      </c>
      <c r="C39" s="60" t="s">
        <v>7</v>
      </c>
    </row>
    <row r="40" spans="1:3" x14ac:dyDescent="0.25">
      <c r="A40" s="53" t="s">
        <v>34</v>
      </c>
      <c r="B40" s="9">
        <v>500</v>
      </c>
      <c r="C40" s="60" t="s">
        <v>7</v>
      </c>
    </row>
    <row r="41" spans="1:3" x14ac:dyDescent="0.25">
      <c r="A41" s="53" t="s">
        <v>35</v>
      </c>
      <c r="B41" s="9">
        <v>5200</v>
      </c>
      <c r="C41" s="60" t="s">
        <v>7</v>
      </c>
    </row>
    <row r="42" spans="1:3" x14ac:dyDescent="0.25">
      <c r="A42" s="53" t="s">
        <v>36</v>
      </c>
      <c r="B42" s="9">
        <v>7200</v>
      </c>
      <c r="C42" s="60" t="s">
        <v>155</v>
      </c>
    </row>
    <row r="43" spans="1:3" x14ac:dyDescent="0.25">
      <c r="A43" s="53" t="s">
        <v>37</v>
      </c>
      <c r="B43" s="9">
        <v>5600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650</v>
      </c>
      <c r="C47" s="60" t="s">
        <v>155</v>
      </c>
    </row>
    <row r="48" spans="1:3" x14ac:dyDescent="0.25">
      <c r="A48" s="53" t="s">
        <v>42</v>
      </c>
      <c r="B48" s="9">
        <v>350</v>
      </c>
      <c r="C48" s="60" t="s">
        <v>7</v>
      </c>
    </row>
    <row r="49" spans="1:3" x14ac:dyDescent="0.25">
      <c r="A49" s="53" t="s">
        <v>43</v>
      </c>
      <c r="B49" s="9">
        <v>550</v>
      </c>
      <c r="C49" s="60" t="s">
        <v>7</v>
      </c>
    </row>
    <row r="50" spans="1:3" x14ac:dyDescent="0.25">
      <c r="A50" s="53" t="s">
        <v>44</v>
      </c>
      <c r="B50" s="9">
        <v>3800</v>
      </c>
      <c r="C50" s="60" t="s">
        <v>7</v>
      </c>
    </row>
    <row r="51" spans="1:3" x14ac:dyDescent="0.25">
      <c r="A51" s="53" t="s">
        <v>45</v>
      </c>
      <c r="B51" s="9">
        <v>1200</v>
      </c>
      <c r="C51" s="60" t="s">
        <v>7</v>
      </c>
    </row>
    <row r="52" spans="1:3" x14ac:dyDescent="0.25">
      <c r="A52" s="53" t="s">
        <v>46</v>
      </c>
      <c r="B52" s="9">
        <v>280</v>
      </c>
      <c r="C52" s="60" t="s">
        <v>8</v>
      </c>
    </row>
    <row r="53" spans="1:3" x14ac:dyDescent="0.25">
      <c r="A53" s="53" t="s">
        <v>153</v>
      </c>
      <c r="B53" s="9">
        <v>360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1376</v>
      </c>
      <c r="C57" s="70"/>
    </row>
    <row r="58" spans="1:3" x14ac:dyDescent="0.25">
      <c r="A58" s="4" t="s">
        <v>51</v>
      </c>
      <c r="B58" s="7">
        <v>0</v>
      </c>
      <c r="C58" s="60"/>
    </row>
    <row r="59" spans="1:3" x14ac:dyDescent="0.25">
      <c r="A59" s="8" t="s">
        <v>52</v>
      </c>
      <c r="B59" s="7">
        <v>100</v>
      </c>
      <c r="C59" s="60" t="s">
        <v>8</v>
      </c>
    </row>
    <row r="60" spans="1:3" x14ac:dyDescent="0.25">
      <c r="A60" s="8" t="s">
        <v>53</v>
      </c>
      <c r="B60" s="7">
        <v>600</v>
      </c>
      <c r="C60" s="60" t="s">
        <v>8</v>
      </c>
    </row>
    <row r="61" spans="1:3" x14ac:dyDescent="0.25">
      <c r="A61" s="8" t="s">
        <v>54</v>
      </c>
      <c r="B61" s="7">
        <v>50</v>
      </c>
      <c r="C61" s="60" t="s">
        <v>8</v>
      </c>
    </row>
    <row r="62" spans="1:3" x14ac:dyDescent="0.25">
      <c r="A62" s="8" t="s">
        <v>55</v>
      </c>
      <c r="B62" s="7">
        <v>100</v>
      </c>
      <c r="C62" s="60" t="s">
        <v>8</v>
      </c>
    </row>
    <row r="63" spans="1:3" x14ac:dyDescent="0.25">
      <c r="A63" s="8" t="s">
        <v>56</v>
      </c>
      <c r="B63" s="7">
        <v>100</v>
      </c>
      <c r="C63" s="60" t="s">
        <v>8</v>
      </c>
    </row>
    <row r="64" spans="1:3" x14ac:dyDescent="0.25">
      <c r="A64" s="8" t="s">
        <v>57</v>
      </c>
      <c r="B64" s="7">
        <v>100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31564</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7500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100</v>
      </c>
      <c r="C77" s="60" t="s">
        <v>8</v>
      </c>
    </row>
    <row r="78" spans="1:3" x14ac:dyDescent="0.25">
      <c r="A78" s="8" t="s">
        <v>70</v>
      </c>
      <c r="B78" s="2">
        <v>200</v>
      </c>
      <c r="C78" s="60" t="s">
        <v>8</v>
      </c>
    </row>
    <row r="79" spans="1:3" x14ac:dyDescent="0.25">
      <c r="A79" s="8" t="s">
        <v>71</v>
      </c>
      <c r="B79" s="2">
        <v>100</v>
      </c>
      <c r="C79" s="60" t="s">
        <v>8</v>
      </c>
    </row>
    <row r="80" spans="1:3" x14ac:dyDescent="0.25">
      <c r="A80" s="8" t="s">
        <v>72</v>
      </c>
      <c r="B80" s="2">
        <v>150</v>
      </c>
      <c r="C80" s="60" t="s">
        <v>7</v>
      </c>
    </row>
    <row r="81" spans="1:3" x14ac:dyDescent="0.25">
      <c r="A81" s="8" t="s">
        <v>73</v>
      </c>
      <c r="B81" s="2">
        <v>660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1000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5200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1680</v>
      </c>
      <c r="C91" s="60" t="s">
        <v>159</v>
      </c>
    </row>
    <row r="92" spans="1:3" ht="15.75" thickBot="1" x14ac:dyDescent="0.3">
      <c r="A92" s="41" t="s">
        <v>84</v>
      </c>
      <c r="B92" s="45">
        <v>13420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3800</v>
      </c>
      <c r="C95" s="60" t="s">
        <v>8</v>
      </c>
    </row>
    <row r="96" spans="1:3" x14ac:dyDescent="0.25">
      <c r="A96" s="8" t="s">
        <v>87</v>
      </c>
      <c r="B96" s="9">
        <v>4000</v>
      </c>
      <c r="C96" s="60" t="s">
        <v>155</v>
      </c>
    </row>
    <row r="97" spans="1:3" x14ac:dyDescent="0.25">
      <c r="A97" s="8" t="s">
        <v>88</v>
      </c>
      <c r="B97" s="9">
        <v>50</v>
      </c>
      <c r="C97" s="60" t="s">
        <v>8</v>
      </c>
    </row>
    <row r="98" spans="1:3" ht="15.75" thickBot="1" x14ac:dyDescent="0.3">
      <c r="A98" s="12" t="s">
        <v>89</v>
      </c>
      <c r="B98" s="2">
        <v>4870</v>
      </c>
      <c r="C98" s="60" t="s">
        <v>208</v>
      </c>
    </row>
    <row r="99" spans="1:3" ht="15.75" thickBot="1" x14ac:dyDescent="0.3">
      <c r="A99" s="41" t="s">
        <v>90</v>
      </c>
      <c r="B99" s="45">
        <v>27620</v>
      </c>
      <c r="C99" s="60"/>
    </row>
    <row r="100" spans="1:3" x14ac:dyDescent="0.25">
      <c r="A100" s="6" t="s">
        <v>91</v>
      </c>
      <c r="B100" s="9">
        <v>800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200</v>
      </c>
      <c r="C103" s="60" t="s">
        <v>7</v>
      </c>
    </row>
    <row r="104" spans="1:3" x14ac:dyDescent="0.25">
      <c r="A104" s="8" t="s">
        <v>94</v>
      </c>
      <c r="B104" s="9">
        <v>800</v>
      </c>
      <c r="C104" s="60" t="s">
        <v>7</v>
      </c>
    </row>
    <row r="105" spans="1:3" x14ac:dyDescent="0.25">
      <c r="A105" s="8" t="s">
        <v>95</v>
      </c>
      <c r="B105" s="9">
        <v>400</v>
      </c>
      <c r="C105" s="60" t="s">
        <v>7</v>
      </c>
    </row>
    <row r="106" spans="1:3" x14ac:dyDescent="0.25">
      <c r="A106" s="8" t="s">
        <v>96</v>
      </c>
      <c r="B106" s="9">
        <v>1260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1200</v>
      </c>
      <c r="C109" s="60" t="s">
        <v>7</v>
      </c>
    </row>
    <row r="110" spans="1:3" x14ac:dyDescent="0.25">
      <c r="A110" s="8" t="s">
        <v>99</v>
      </c>
      <c r="B110" s="9">
        <v>6000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900</v>
      </c>
      <c r="C113" s="60" t="s">
        <v>7</v>
      </c>
    </row>
    <row r="114" spans="1:3" x14ac:dyDescent="0.25">
      <c r="A114" s="8" t="s">
        <v>102</v>
      </c>
      <c r="B114" s="9">
        <v>1200</v>
      </c>
      <c r="C114" s="60" t="s">
        <v>7</v>
      </c>
    </row>
    <row r="115" spans="1:3" x14ac:dyDescent="0.25">
      <c r="A115" s="8" t="s">
        <v>103</v>
      </c>
      <c r="B115" s="9">
        <v>100</v>
      </c>
      <c r="C115" s="60" t="s">
        <v>7</v>
      </c>
    </row>
    <row r="116" spans="1:3" x14ac:dyDescent="0.25">
      <c r="A116" s="8" t="s">
        <v>104</v>
      </c>
      <c r="B116" s="9">
        <v>1050</v>
      </c>
      <c r="C116" s="60" t="s">
        <v>7</v>
      </c>
    </row>
    <row r="117" spans="1:3" x14ac:dyDescent="0.25">
      <c r="A117" s="8" t="s">
        <v>105</v>
      </c>
      <c r="B117" s="9">
        <v>200</v>
      </c>
      <c r="C117" s="60" t="s">
        <v>7</v>
      </c>
    </row>
    <row r="118" spans="1:3" x14ac:dyDescent="0.25">
      <c r="A118" s="8" t="s">
        <v>106</v>
      </c>
      <c r="B118" s="9">
        <v>1200</v>
      </c>
      <c r="C118" s="60" t="s">
        <v>7</v>
      </c>
    </row>
    <row r="119" spans="1:3" x14ac:dyDescent="0.25">
      <c r="A119" s="8" t="s">
        <v>107</v>
      </c>
      <c r="B119" s="9">
        <v>4500</v>
      </c>
      <c r="C119" s="60" t="s">
        <v>203</v>
      </c>
    </row>
    <row r="120" spans="1:3" x14ac:dyDescent="0.25">
      <c r="A120" s="23" t="s">
        <v>108</v>
      </c>
      <c r="B120" s="9">
        <v>2120</v>
      </c>
      <c r="C120" s="60" t="s">
        <v>7</v>
      </c>
    </row>
    <row r="121" spans="1:3" x14ac:dyDescent="0.25">
      <c r="A121" s="8" t="s">
        <v>109</v>
      </c>
      <c r="B121" s="9">
        <v>900</v>
      </c>
      <c r="C121" s="60" t="s">
        <v>7</v>
      </c>
    </row>
    <row r="122" spans="1:3" x14ac:dyDescent="0.25">
      <c r="A122" s="8" t="s">
        <v>110</v>
      </c>
      <c r="B122" s="9">
        <v>1200</v>
      </c>
      <c r="C122" s="60" t="s">
        <v>8</v>
      </c>
    </row>
    <row r="123" spans="1:3" ht="15.75" thickBot="1" x14ac:dyDescent="0.3">
      <c r="A123" s="12" t="s">
        <v>111</v>
      </c>
      <c r="B123" s="9">
        <v>800</v>
      </c>
      <c r="C123" s="60" t="s">
        <v>7</v>
      </c>
    </row>
    <row r="124" spans="1:3" ht="15.75" thickBot="1" x14ac:dyDescent="0.3">
      <c r="A124" s="41" t="s">
        <v>112</v>
      </c>
      <c r="B124" s="45">
        <v>193602</v>
      </c>
      <c r="C124" s="60"/>
    </row>
    <row r="125" spans="1:3" x14ac:dyDescent="0.25">
      <c r="A125" s="6" t="s">
        <v>113</v>
      </c>
      <c r="B125" s="9">
        <v>5850</v>
      </c>
      <c r="C125" s="60" t="s">
        <v>155</v>
      </c>
    </row>
    <row r="126" spans="1:3" x14ac:dyDescent="0.25">
      <c r="A126" s="8" t="s">
        <v>114</v>
      </c>
      <c r="B126" s="9">
        <v>350</v>
      </c>
      <c r="C126" s="60" t="s">
        <v>7</v>
      </c>
    </row>
    <row r="127" spans="1:3" x14ac:dyDescent="0.25">
      <c r="A127" s="8" t="s">
        <v>162</v>
      </c>
      <c r="B127" s="9">
        <v>100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11037</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33300</v>
      </c>
      <c r="C135" s="60" t="s">
        <v>155</v>
      </c>
    </row>
    <row r="136" spans="1:3" x14ac:dyDescent="0.25">
      <c r="A136" s="8" t="s">
        <v>122</v>
      </c>
      <c r="B136" s="9">
        <v>62140</v>
      </c>
      <c r="C136" s="60" t="s">
        <v>155</v>
      </c>
    </row>
    <row r="137" spans="1:3" x14ac:dyDescent="0.25">
      <c r="A137" s="8" t="s">
        <v>158</v>
      </c>
      <c r="B137" s="9">
        <v>65777</v>
      </c>
      <c r="C137" s="60" t="s">
        <v>7</v>
      </c>
    </row>
    <row r="138" spans="1:3" x14ac:dyDescent="0.25">
      <c r="A138" s="8" t="s">
        <v>123</v>
      </c>
      <c r="B138" s="9">
        <v>2400</v>
      </c>
      <c r="C138" s="60" t="s">
        <v>155</v>
      </c>
    </row>
    <row r="139" spans="1:3" x14ac:dyDescent="0.25">
      <c r="A139" s="8" t="s">
        <v>124</v>
      </c>
      <c r="B139" s="9">
        <v>3100</v>
      </c>
      <c r="C139" s="60" t="s">
        <v>7</v>
      </c>
    </row>
    <row r="140" spans="1:3" x14ac:dyDescent="0.25">
      <c r="A140" s="8" t="s">
        <v>125</v>
      </c>
      <c r="B140" s="9">
        <v>1800</v>
      </c>
      <c r="C140" s="60" t="s">
        <v>7</v>
      </c>
    </row>
    <row r="141" spans="1:3" x14ac:dyDescent="0.25">
      <c r="A141" s="8" t="s">
        <v>164</v>
      </c>
      <c r="B141" s="9">
        <v>128</v>
      </c>
      <c r="C141" s="60" t="s">
        <v>7</v>
      </c>
    </row>
    <row r="142" spans="1:3" x14ac:dyDescent="0.25">
      <c r="A142" s="8" t="s">
        <v>126</v>
      </c>
      <c r="B142" s="9">
        <v>1300</v>
      </c>
      <c r="C142" s="60" t="s">
        <v>155</v>
      </c>
    </row>
    <row r="143" spans="1:3" x14ac:dyDescent="0.25">
      <c r="A143" s="8" t="s">
        <v>127</v>
      </c>
      <c r="B143" s="9">
        <v>1600</v>
      </c>
      <c r="C143" s="60" t="s">
        <v>7</v>
      </c>
    </row>
    <row r="144" spans="1:3" x14ac:dyDescent="0.25">
      <c r="A144" s="8" t="s">
        <v>128</v>
      </c>
      <c r="B144" s="9">
        <v>400</v>
      </c>
      <c r="C144" s="60" t="s">
        <v>155</v>
      </c>
    </row>
    <row r="145" spans="1:3" ht="15.75" thickBot="1" x14ac:dyDescent="0.3">
      <c r="A145" s="17" t="s">
        <v>129</v>
      </c>
      <c r="B145" s="9">
        <v>800</v>
      </c>
      <c r="C145" s="60" t="s">
        <v>159</v>
      </c>
    </row>
    <row r="146" spans="1:3" ht="15.75" thickBot="1" x14ac:dyDescent="0.3">
      <c r="A146" s="47" t="s">
        <v>152</v>
      </c>
      <c r="B146" s="72">
        <v>1985</v>
      </c>
      <c r="C146" s="60" t="s">
        <v>8</v>
      </c>
    </row>
    <row r="147" spans="1:3" ht="15.75" thickBot="1" x14ac:dyDescent="0.3">
      <c r="A147" s="48" t="s">
        <v>130</v>
      </c>
      <c r="B147" s="72">
        <v>3200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500</v>
      </c>
      <c r="C154" s="60" t="s">
        <v>8</v>
      </c>
    </row>
    <row r="155" spans="1:3" ht="16.5" thickBot="1" x14ac:dyDescent="0.3">
      <c r="A155" s="29" t="s">
        <v>136</v>
      </c>
      <c r="B155" s="30">
        <v>2798922</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35127</v>
      </c>
      <c r="C163" s="60" t="s">
        <v>159</v>
      </c>
    </row>
    <row r="164" spans="1:3" x14ac:dyDescent="0.25">
      <c r="A164" s="21" t="s">
        <v>142</v>
      </c>
      <c r="B164" s="2">
        <v>2449</v>
      </c>
      <c r="C164" s="60" t="s">
        <v>204</v>
      </c>
    </row>
    <row r="165" spans="1:3" x14ac:dyDescent="0.25">
      <c r="A165" s="21" t="s">
        <v>176</v>
      </c>
      <c r="B165" s="2">
        <v>35</v>
      </c>
      <c r="C165" s="60" t="s">
        <v>8</v>
      </c>
    </row>
    <row r="166" spans="1:3" x14ac:dyDescent="0.25">
      <c r="A166" s="19" t="s">
        <v>143</v>
      </c>
      <c r="B166" s="2">
        <v>550</v>
      </c>
      <c r="C166" s="60" t="s">
        <v>8</v>
      </c>
    </row>
    <row r="167" spans="1:3" x14ac:dyDescent="0.25">
      <c r="A167" s="22" t="s">
        <v>144</v>
      </c>
      <c r="B167" s="2">
        <v>22700</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90942</v>
      </c>
      <c r="C171" s="61"/>
    </row>
    <row r="172" spans="1:3" ht="16.5" thickBot="1" x14ac:dyDescent="0.3">
      <c r="A172" s="34" t="s">
        <v>148</v>
      </c>
      <c r="B172" s="35">
        <v>2889864</v>
      </c>
      <c r="C172" s="62"/>
    </row>
    <row r="173" spans="1:3" x14ac:dyDescent="0.25">
      <c r="B173" s="147" t="s">
        <v>179</v>
      </c>
      <c r="C173" s="147"/>
    </row>
    <row r="174" spans="1:3" x14ac:dyDescent="0.25">
      <c r="B174" s="147" t="s">
        <v>181</v>
      </c>
      <c r="C174" s="147"/>
    </row>
    <row r="175" spans="1:3" x14ac:dyDescent="0.25">
      <c r="B175" s="147"/>
      <c r="C175" s="147"/>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opLeftCell="B162" zoomScale="120" zoomScaleNormal="120" workbookViewId="0">
      <selection activeCell="B173" sqref="B173:H173"/>
    </sheetView>
  </sheetViews>
  <sheetFormatPr defaultRowHeight="15" x14ac:dyDescent="0.2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44" t="s">
        <v>0</v>
      </c>
      <c r="C2" s="144"/>
      <c r="D2" s="144"/>
      <c r="E2" s="144"/>
      <c r="F2" s="144"/>
      <c r="G2" s="144"/>
      <c r="H2" s="144"/>
    </row>
    <row r="3" spans="2:11" x14ac:dyDescent="0.25">
      <c r="B3" s="145" t="s">
        <v>213</v>
      </c>
      <c r="C3" s="145"/>
      <c r="D3" s="145"/>
      <c r="E3" s="145"/>
      <c r="F3" s="145"/>
      <c r="G3" s="145"/>
      <c r="H3" s="145"/>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109">
        <f>2155096+335323+29000+C22+C29+70000+2965+13592+3162</f>
        <v>2694462</v>
      </c>
      <c r="D7" s="109"/>
      <c r="E7" s="7"/>
      <c r="F7" s="64"/>
      <c r="G7" s="64"/>
      <c r="H7" s="2">
        <f>SUM(C7:G7)</f>
        <v>2694462</v>
      </c>
    </row>
    <row r="8" spans="2:11" x14ac:dyDescent="0.25">
      <c r="B8" s="8" t="s">
        <v>10</v>
      </c>
      <c r="C8" s="73">
        <f>28311+2392</f>
        <v>30703</v>
      </c>
      <c r="D8" s="73"/>
      <c r="E8" s="9"/>
      <c r="F8" s="64"/>
      <c r="G8" s="64"/>
      <c r="H8" s="2">
        <f t="shared" ref="H8:H13" si="0">SUM(C8:G8)</f>
        <v>30703</v>
      </c>
    </row>
    <row r="9" spans="2:11" x14ac:dyDescent="0.25">
      <c r="B9" s="8" t="s">
        <v>195</v>
      </c>
      <c r="C9" s="9"/>
      <c r="D9" s="9"/>
      <c r="E9" s="9">
        <f>54750+2000+2500+530+750+670-3000-930-1070+550+1775+2000+6860</f>
        <v>67385</v>
      </c>
      <c r="F9" s="64"/>
      <c r="G9" s="64"/>
      <c r="H9" s="2">
        <f t="shared" si="0"/>
        <v>67385</v>
      </c>
    </row>
    <row r="10" spans="2:11" x14ac:dyDescent="0.25">
      <c r="B10" s="8" t="s">
        <v>169</v>
      </c>
      <c r="C10" s="9">
        <f>2527</f>
        <v>2527</v>
      </c>
      <c r="D10" s="9"/>
      <c r="E10" s="9">
        <f>4500+3000+250+900</f>
        <v>8650</v>
      </c>
      <c r="F10" s="64"/>
      <c r="G10" s="64"/>
      <c r="H10" s="2">
        <f t="shared" si="0"/>
        <v>11177</v>
      </c>
    </row>
    <row r="11" spans="2:11" x14ac:dyDescent="0.25">
      <c r="B11" s="8" t="s">
        <v>170</v>
      </c>
      <c r="C11" s="9"/>
      <c r="D11" s="102">
        <f>80011+700+8323</f>
        <v>89034</v>
      </c>
      <c r="E11" s="9"/>
      <c r="F11" s="64">
        <f>729+4000+1870</f>
        <v>6599</v>
      </c>
      <c r="G11" s="64"/>
      <c r="H11" s="2">
        <f>SUM(C11:G11)</f>
        <v>95633</v>
      </c>
    </row>
    <row r="12" spans="2:11" x14ac:dyDescent="0.25">
      <c r="B12" s="8" t="s">
        <v>196</v>
      </c>
      <c r="C12" s="9"/>
      <c r="D12" s="9"/>
      <c r="E12" s="9"/>
      <c r="F12" s="64">
        <f>500+181</f>
        <v>681</v>
      </c>
      <c r="G12" s="64"/>
      <c r="H12" s="2">
        <f t="shared" si="0"/>
        <v>681</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2730303</v>
      </c>
      <c r="D15" s="30">
        <f>SUM(D7:D14)</f>
        <v>89034</v>
      </c>
      <c r="E15" s="30">
        <f>SUM(E7:E14)</f>
        <v>81685</v>
      </c>
      <c r="F15" s="30">
        <f t="shared" ref="F15:G15" si="1">SUM(F7:F14)</f>
        <v>7280</v>
      </c>
      <c r="G15" s="30">
        <f t="shared" si="1"/>
        <v>3085</v>
      </c>
      <c r="H15" s="30">
        <f>SUM(H7:H14)</f>
        <v>2911387</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105">
        <f>80+5678</f>
        <v>5758</v>
      </c>
      <c r="E19" s="45">
        <f>22550-550+3000</f>
        <v>25000</v>
      </c>
      <c r="F19" s="45">
        <v>181</v>
      </c>
      <c r="G19" s="45">
        <v>288</v>
      </c>
      <c r="H19" s="45">
        <f>SUM(C19:G19)</f>
        <v>2284333</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45">
        <f>1800+100</f>
        <v>1900</v>
      </c>
      <c r="F21" s="45"/>
      <c r="G21" s="45"/>
      <c r="H21" s="45">
        <f t="shared" si="2"/>
        <v>1900</v>
      </c>
    </row>
    <row r="22" spans="2:10" ht="15.75" thickBot="1" x14ac:dyDescent="0.3">
      <c r="B22" s="41" t="s">
        <v>19</v>
      </c>
      <c r="C22" s="42">
        <f>+C24+C25+C26+C27+C28+C23</f>
        <v>45824</v>
      </c>
      <c r="D22" s="42"/>
      <c r="E22" s="42">
        <f t="shared" ref="E22:G22" si="3">+E24+E25+E26+E27+E28</f>
        <v>2100</v>
      </c>
      <c r="F22" s="42"/>
      <c r="G22" s="42">
        <f t="shared" si="3"/>
        <v>0</v>
      </c>
      <c r="H22" s="42">
        <f>+H23+H24+H25+H26+H27+H28</f>
        <v>47924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14">
        <f>750+150+500+1200</f>
        <v>2600</v>
      </c>
      <c r="D27" s="1"/>
      <c r="E27" s="1">
        <v>100</v>
      </c>
      <c r="F27" s="1"/>
      <c r="G27" s="9"/>
      <c r="H27" s="7">
        <f t="shared" si="4"/>
        <v>2700</v>
      </c>
    </row>
    <row r="28" spans="2:10" ht="15.75" thickBot="1" x14ac:dyDescent="0.3">
      <c r="B28" s="8" t="s">
        <v>167</v>
      </c>
      <c r="C28" s="93">
        <f>5600+17774-104+2000</f>
        <v>25270</v>
      </c>
      <c r="D28" s="74"/>
      <c r="E28" s="74">
        <v>900</v>
      </c>
      <c r="F28" s="90"/>
      <c r="G28" s="13"/>
      <c r="H28" s="7">
        <f t="shared" si="4"/>
        <v>26170</v>
      </c>
    </row>
    <row r="29" spans="2:10" ht="15.75" thickBot="1" x14ac:dyDescent="0.3">
      <c r="B29" s="41" t="s">
        <v>24</v>
      </c>
      <c r="C29" s="45">
        <f t="shared" ref="C29" si="5">+C30</f>
        <v>39500</v>
      </c>
      <c r="D29" s="45"/>
      <c r="E29" s="45">
        <f>+E30+E31</f>
        <v>535</v>
      </c>
      <c r="F29" s="101"/>
      <c r="G29" s="87"/>
      <c r="H29" s="45">
        <f>H30+H31</f>
        <v>40035</v>
      </c>
    </row>
    <row r="30" spans="2:10" x14ac:dyDescent="0.25">
      <c r="B30" s="10" t="s">
        <v>25</v>
      </c>
      <c r="C30" s="123">
        <f>29500+10000</f>
        <v>39500</v>
      </c>
      <c r="D30" s="37"/>
      <c r="E30" s="98">
        <f>200+25</f>
        <v>225</v>
      </c>
      <c r="F30" s="37"/>
      <c r="G30" s="9"/>
      <c r="H30" s="88">
        <f>SUM(C30:E30)</f>
        <v>39725</v>
      </c>
    </row>
    <row r="31" spans="2:10" x14ac:dyDescent="0.25">
      <c r="B31" s="53" t="s">
        <v>178</v>
      </c>
      <c r="C31" s="9"/>
      <c r="D31" s="9"/>
      <c r="E31" s="9">
        <v>310</v>
      </c>
      <c r="F31" s="9"/>
      <c r="G31" s="9"/>
      <c r="H31" s="9">
        <f>SUM(C31:E31)</f>
        <v>310</v>
      </c>
    </row>
    <row r="32" spans="2:10" ht="15.75" thickBot="1" x14ac:dyDescent="0.3">
      <c r="B32" s="48" t="s">
        <v>26</v>
      </c>
      <c r="C32" s="86">
        <f>SUM(C33:C56)</f>
        <v>98682</v>
      </c>
      <c r="D32" s="86"/>
      <c r="E32" s="86">
        <f t="shared" ref="E32" si="6">SUM(E33:E56)</f>
        <v>11560</v>
      </c>
      <c r="F32" s="86"/>
      <c r="G32" s="86"/>
      <c r="H32" s="86">
        <f>SUM(H33:H56)</f>
        <v>110242</v>
      </c>
    </row>
    <row r="33" spans="2:11" x14ac:dyDescent="0.25">
      <c r="B33" s="53" t="s">
        <v>27</v>
      </c>
      <c r="C33" s="9">
        <v>2000</v>
      </c>
      <c r="D33" s="9"/>
      <c r="E33" s="9">
        <f>200+100</f>
        <v>300</v>
      </c>
      <c r="F33" s="9"/>
      <c r="G33" s="9"/>
      <c r="H33" s="9">
        <f>SUM(C33:G33)</f>
        <v>2300</v>
      </c>
    </row>
    <row r="34" spans="2:11" x14ac:dyDescent="0.25">
      <c r="B34" s="53" t="s">
        <v>28</v>
      </c>
      <c r="C34" s="73">
        <f>27392</f>
        <v>27392</v>
      </c>
      <c r="D34" s="73"/>
      <c r="E34" s="73">
        <f>500+250</f>
        <v>750</v>
      </c>
      <c r="F34" s="66"/>
      <c r="G34" s="9"/>
      <c r="H34" s="9">
        <f t="shared" ref="H34:H56" si="7">SUM(C34:G34)</f>
        <v>28142</v>
      </c>
    </row>
    <row r="35" spans="2:11" x14ac:dyDescent="0.25">
      <c r="B35" s="53" t="s">
        <v>29</v>
      </c>
      <c r="C35" s="73">
        <f>11000+1500+1000</f>
        <v>13500</v>
      </c>
      <c r="D35" s="73"/>
      <c r="E35" s="73">
        <f>100+1400</f>
        <v>1500</v>
      </c>
      <c r="F35" s="66"/>
      <c r="G35" s="9"/>
      <c r="H35" s="9">
        <f t="shared" si="7"/>
        <v>15000</v>
      </c>
    </row>
    <row r="36" spans="2:11" x14ac:dyDescent="0.25">
      <c r="B36" s="53" t="s">
        <v>30</v>
      </c>
      <c r="C36" s="73">
        <v>100</v>
      </c>
      <c r="D36" s="73"/>
      <c r="E36" s="9"/>
      <c r="F36" s="9"/>
      <c r="G36" s="9"/>
      <c r="H36" s="9">
        <f t="shared" si="7"/>
        <v>100</v>
      </c>
    </row>
    <row r="37" spans="2:11" x14ac:dyDescent="0.25">
      <c r="B37" s="53" t="s">
        <v>31</v>
      </c>
      <c r="C37" s="73">
        <f>21000+2000</f>
        <v>23000</v>
      </c>
      <c r="D37" s="73"/>
      <c r="E37" s="108">
        <f>2500+1600+350</f>
        <v>4450</v>
      </c>
      <c r="F37" s="66"/>
      <c r="G37" s="9"/>
      <c r="H37" s="9">
        <f t="shared" si="7"/>
        <v>27450</v>
      </c>
    </row>
    <row r="38" spans="2:11" x14ac:dyDescent="0.25">
      <c r="B38" s="53" t="s">
        <v>32</v>
      </c>
      <c r="C38" s="73">
        <f>6540-200</f>
        <v>6340</v>
      </c>
      <c r="D38" s="73"/>
      <c r="E38" s="73">
        <v>120</v>
      </c>
      <c r="F38" s="9"/>
      <c r="G38" s="9"/>
      <c r="H38" s="9">
        <f t="shared" si="7"/>
        <v>6460</v>
      </c>
      <c r="K38" s="56"/>
    </row>
    <row r="39" spans="2:11" x14ac:dyDescent="0.25">
      <c r="B39" s="53" t="s">
        <v>33</v>
      </c>
      <c r="C39" s="102">
        <f>500-50+100</f>
        <v>550</v>
      </c>
      <c r="D39" s="9"/>
      <c r="E39" s="9"/>
      <c r="F39" s="9"/>
      <c r="G39" s="9"/>
      <c r="H39" s="9">
        <f t="shared" si="7"/>
        <v>550</v>
      </c>
    </row>
    <row r="40" spans="2:11" x14ac:dyDescent="0.25">
      <c r="B40" s="53" t="s">
        <v>34</v>
      </c>
      <c r="C40" s="102">
        <f>550-50-50</f>
        <v>450</v>
      </c>
      <c r="D40" s="9"/>
      <c r="E40" s="9"/>
      <c r="F40" s="9"/>
      <c r="G40" s="9"/>
      <c r="H40" s="9">
        <f t="shared" si="7"/>
        <v>450</v>
      </c>
    </row>
    <row r="41" spans="2:11" x14ac:dyDescent="0.25">
      <c r="B41" s="53" t="s">
        <v>35</v>
      </c>
      <c r="C41" s="102">
        <f>6000-800+200</f>
        <v>5400</v>
      </c>
      <c r="D41" s="9"/>
      <c r="E41" s="9"/>
      <c r="F41" s="9"/>
      <c r="G41" s="9"/>
      <c r="H41" s="9">
        <f t="shared" si="7"/>
        <v>5400</v>
      </c>
    </row>
    <row r="42" spans="2:11" x14ac:dyDescent="0.25">
      <c r="B42" s="53" t="s">
        <v>36</v>
      </c>
      <c r="C42" s="102">
        <f>3600+550</f>
        <v>4150</v>
      </c>
      <c r="D42" s="9"/>
      <c r="E42" s="104">
        <f>3600-550</f>
        <v>3050</v>
      </c>
      <c r="F42" s="9"/>
      <c r="G42" s="9"/>
      <c r="H42" s="9">
        <f t="shared" si="7"/>
        <v>7200</v>
      </c>
    </row>
    <row r="43" spans="2:11" x14ac:dyDescent="0.25">
      <c r="B43" s="53" t="s">
        <v>37</v>
      </c>
      <c r="C43" s="102">
        <f>6600-1000-600</f>
        <v>5000</v>
      </c>
      <c r="D43" s="9"/>
      <c r="E43" s="9"/>
      <c r="F43" s="9"/>
      <c r="G43" s="9"/>
      <c r="H43" s="9">
        <f t="shared" si="7"/>
        <v>5000</v>
      </c>
    </row>
    <row r="44" spans="2:11" x14ac:dyDescent="0.25">
      <c r="B44" s="53" t="s">
        <v>38</v>
      </c>
      <c r="C44" s="9">
        <f>2700</f>
        <v>2700</v>
      </c>
      <c r="D44" s="9"/>
      <c r="E44" s="9"/>
      <c r="F44" s="9"/>
      <c r="G44" s="9"/>
      <c r="H44" s="9">
        <f t="shared" si="7"/>
        <v>2700</v>
      </c>
    </row>
    <row r="45" spans="2:11" x14ac:dyDescent="0.25">
      <c r="B45" s="53" t="s">
        <v>39</v>
      </c>
      <c r="C45" s="9">
        <v>1500</v>
      </c>
      <c r="D45" s="9"/>
      <c r="E45" s="9"/>
      <c r="F45" s="9"/>
      <c r="G45" s="9"/>
      <c r="H45" s="9">
        <f t="shared" si="7"/>
        <v>1500</v>
      </c>
    </row>
    <row r="46" spans="2:11" x14ac:dyDescent="0.25">
      <c r="B46" s="53" t="s">
        <v>40</v>
      </c>
      <c r="C46" s="9"/>
      <c r="D46" s="9"/>
      <c r="E46" s="9"/>
      <c r="F46" s="9"/>
      <c r="G46" s="9"/>
      <c r="H46" s="9">
        <f t="shared" si="7"/>
        <v>0</v>
      </c>
    </row>
    <row r="47" spans="2:11" x14ac:dyDescent="0.25">
      <c r="B47" s="53" t="s">
        <v>41</v>
      </c>
      <c r="C47" s="102">
        <f>600+100</f>
        <v>700</v>
      </c>
      <c r="D47" s="9"/>
      <c r="E47" s="9">
        <v>50</v>
      </c>
      <c r="F47" s="9"/>
      <c r="G47" s="9"/>
      <c r="H47" s="9">
        <f t="shared" si="7"/>
        <v>750</v>
      </c>
    </row>
    <row r="48" spans="2:11" x14ac:dyDescent="0.25">
      <c r="B48" s="53" t="s">
        <v>42</v>
      </c>
      <c r="C48" s="9">
        <v>350</v>
      </c>
      <c r="D48" s="9"/>
      <c r="E48" s="9"/>
      <c r="F48" s="9"/>
      <c r="G48" s="9"/>
      <c r="H48" s="9">
        <f t="shared" si="7"/>
        <v>350</v>
      </c>
    </row>
    <row r="49" spans="2:8" x14ac:dyDescent="0.25">
      <c r="B49" s="53" t="s">
        <v>43</v>
      </c>
      <c r="C49" s="9">
        <v>550</v>
      </c>
      <c r="D49" s="9"/>
      <c r="E49" s="9"/>
      <c r="F49" s="9"/>
      <c r="G49" s="9"/>
      <c r="H49" s="9">
        <f t="shared" si="7"/>
        <v>550</v>
      </c>
    </row>
    <row r="50" spans="2:8" x14ac:dyDescent="0.25">
      <c r="B50" s="53" t="s">
        <v>44</v>
      </c>
      <c r="C50" s="9">
        <v>3800</v>
      </c>
      <c r="D50" s="9"/>
      <c r="E50" s="9"/>
      <c r="F50" s="9"/>
      <c r="G50" s="9"/>
      <c r="H50" s="9">
        <f t="shared" si="7"/>
        <v>3800</v>
      </c>
    </row>
    <row r="51" spans="2:8" x14ac:dyDescent="0.25">
      <c r="B51" s="53" t="s">
        <v>45</v>
      </c>
      <c r="C51" s="9">
        <v>1200</v>
      </c>
      <c r="D51" s="9"/>
      <c r="E51" s="9"/>
      <c r="F51" s="9"/>
      <c r="G51" s="9"/>
      <c r="H51" s="9">
        <f t="shared" si="7"/>
        <v>1200</v>
      </c>
    </row>
    <row r="52" spans="2:8" x14ac:dyDescent="0.25">
      <c r="B52" s="53" t="s">
        <v>46</v>
      </c>
      <c r="C52" s="9"/>
      <c r="D52" s="9"/>
      <c r="E52" s="9">
        <v>280</v>
      </c>
      <c r="F52" s="9"/>
      <c r="G52" s="9"/>
      <c r="H52" s="9">
        <f t="shared" si="7"/>
        <v>280</v>
      </c>
    </row>
    <row r="53" spans="2:8" x14ac:dyDescent="0.25">
      <c r="B53" s="53" t="s">
        <v>153</v>
      </c>
      <c r="C53" s="9"/>
      <c r="D53" s="9"/>
      <c r="E53" s="9">
        <f>110+30+220</f>
        <v>360</v>
      </c>
      <c r="F53" s="9"/>
      <c r="G53" s="9"/>
      <c r="H53" s="9">
        <f t="shared" si="7"/>
        <v>360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1376</v>
      </c>
      <c r="F57" s="42"/>
      <c r="G57" s="42"/>
      <c r="H57" s="44">
        <f>SUM(H58:H66)</f>
        <v>1376</v>
      </c>
    </row>
    <row r="58" spans="2:8" x14ac:dyDescent="0.25">
      <c r="B58" s="4" t="s">
        <v>51</v>
      </c>
      <c r="C58" s="7"/>
      <c r="D58" s="7"/>
      <c r="E58" s="7">
        <v>0</v>
      </c>
      <c r="F58" s="7"/>
      <c r="G58" s="7"/>
      <c r="H58" s="7">
        <f>SUM(C58:G58)</f>
        <v>0</v>
      </c>
    </row>
    <row r="59" spans="2:8" x14ac:dyDescent="0.25">
      <c r="B59" s="8" t="s">
        <v>52</v>
      </c>
      <c r="C59" s="9"/>
      <c r="D59" s="9"/>
      <c r="E59" s="9">
        <v>100</v>
      </c>
      <c r="F59" s="9"/>
      <c r="G59" s="9"/>
      <c r="H59" s="7">
        <f t="shared" ref="H59:H66" si="9">SUM(C59:G59)</f>
        <v>100</v>
      </c>
    </row>
    <row r="60" spans="2:8" x14ac:dyDescent="0.25">
      <c r="B60" s="8" t="s">
        <v>53</v>
      </c>
      <c r="C60" s="9"/>
      <c r="D60" s="9"/>
      <c r="E60" s="9">
        <v>600</v>
      </c>
      <c r="F60" s="9"/>
      <c r="G60" s="9"/>
      <c r="H60" s="7">
        <f t="shared" si="9"/>
        <v>600</v>
      </c>
    </row>
    <row r="61" spans="2:8" x14ac:dyDescent="0.25">
      <c r="B61" s="8" t="s">
        <v>54</v>
      </c>
      <c r="C61" s="9"/>
      <c r="D61" s="9"/>
      <c r="E61" s="9">
        <v>50</v>
      </c>
      <c r="F61" s="9"/>
      <c r="G61" s="9"/>
      <c r="H61" s="7">
        <f t="shared" si="9"/>
        <v>50</v>
      </c>
    </row>
    <row r="62" spans="2:8" x14ac:dyDescent="0.25">
      <c r="B62" s="8" t="s">
        <v>55</v>
      </c>
      <c r="C62" s="9"/>
      <c r="D62" s="9"/>
      <c r="E62" s="9">
        <v>100</v>
      </c>
      <c r="F62" s="9"/>
      <c r="G62" s="9"/>
      <c r="H62" s="7">
        <f t="shared" si="9"/>
        <v>100</v>
      </c>
    </row>
    <row r="63" spans="2:8" x14ac:dyDescent="0.25">
      <c r="B63" s="8" t="s">
        <v>56</v>
      </c>
      <c r="C63" s="9"/>
      <c r="D63" s="9"/>
      <c r="E63" s="9">
        <v>100</v>
      </c>
      <c r="F63" s="9"/>
      <c r="G63" s="9"/>
      <c r="H63" s="7">
        <f t="shared" si="9"/>
        <v>100</v>
      </c>
    </row>
    <row r="64" spans="2:8" x14ac:dyDescent="0.25">
      <c r="B64" s="8" t="s">
        <v>57</v>
      </c>
      <c r="C64" s="9"/>
      <c r="D64" s="9"/>
      <c r="E64" s="9">
        <v>100</v>
      </c>
      <c r="F64" s="9"/>
      <c r="G64" s="9"/>
      <c r="H64" s="7">
        <f t="shared" si="9"/>
        <v>100</v>
      </c>
    </row>
    <row r="65" spans="2:8" x14ac:dyDescent="0.25">
      <c r="B65" s="8" t="s">
        <v>58</v>
      </c>
      <c r="C65" s="9"/>
      <c r="D65" s="9"/>
      <c r="E65" s="9">
        <v>50</v>
      </c>
      <c r="F65" s="9"/>
      <c r="G65" s="9"/>
      <c r="H65" s="7">
        <f t="shared" si="9"/>
        <v>50</v>
      </c>
    </row>
    <row r="66" spans="2:8" ht="15.75" thickBot="1" x14ac:dyDescent="0.3">
      <c r="B66" s="12" t="s">
        <v>59</v>
      </c>
      <c r="C66" s="1"/>
      <c r="D66" s="1"/>
      <c r="E66" s="1">
        <f>76+200</f>
        <v>276</v>
      </c>
      <c r="F66" s="1"/>
      <c r="G66" s="1"/>
      <c r="H66" s="7">
        <f t="shared" si="9"/>
        <v>276</v>
      </c>
    </row>
    <row r="67" spans="2:8" ht="15.75" thickBot="1" x14ac:dyDescent="0.3">
      <c r="B67" s="41" t="s">
        <v>60</v>
      </c>
      <c r="C67" s="42">
        <f>SUM(C68:C91)</f>
        <v>18450</v>
      </c>
      <c r="D67" s="42">
        <f>SUM(D68:D91)</f>
        <v>2662</v>
      </c>
      <c r="E67" s="42">
        <f>SUM(E68:E91)</f>
        <v>10844</v>
      </c>
      <c r="F67" s="42"/>
      <c r="G67" s="42"/>
      <c r="H67" s="44">
        <f>SUM(H68:H91)</f>
        <v>31956</v>
      </c>
    </row>
    <row r="68" spans="2:8" x14ac:dyDescent="0.25">
      <c r="B68" s="14" t="s">
        <v>165</v>
      </c>
      <c r="C68" s="7"/>
      <c r="D68" s="7"/>
      <c r="E68" s="7">
        <v>300</v>
      </c>
      <c r="F68" s="64"/>
      <c r="G68" s="64"/>
      <c r="H68" s="2">
        <f t="shared" ref="H68:H91" si="10">SUM(C68:G68)</f>
        <v>300</v>
      </c>
    </row>
    <row r="69" spans="2:8" x14ac:dyDescent="0.25">
      <c r="B69" s="14" t="s">
        <v>61</v>
      </c>
      <c r="C69" s="7"/>
      <c r="D69" s="7"/>
      <c r="E69" s="7">
        <f>300+250+50</f>
        <v>600</v>
      </c>
      <c r="F69" s="64"/>
      <c r="G69" s="64"/>
      <c r="H69" s="2">
        <f t="shared" si="10"/>
        <v>600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104">
        <f>7500-2700</f>
        <v>4800</v>
      </c>
      <c r="D72" s="73"/>
      <c r="E72" s="9"/>
      <c r="F72" s="64"/>
      <c r="G72" s="64"/>
      <c r="H72" s="2">
        <f t="shared" si="10"/>
        <v>4800</v>
      </c>
    </row>
    <row r="73" spans="2:8" x14ac:dyDescent="0.25">
      <c r="B73" s="8" t="s">
        <v>65</v>
      </c>
      <c r="C73" s="9"/>
      <c r="D73" s="9"/>
      <c r="E73" s="66">
        <f>200+100+150</f>
        <v>450</v>
      </c>
      <c r="F73" s="96"/>
      <c r="G73" s="64"/>
      <c r="H73" s="2">
        <f t="shared" si="10"/>
        <v>450</v>
      </c>
    </row>
    <row r="74" spans="2:8" x14ac:dyDescent="0.25">
      <c r="B74" s="8" t="s">
        <v>66</v>
      </c>
      <c r="C74" s="9">
        <f>4800-500</f>
        <v>4300</v>
      </c>
      <c r="D74" s="9"/>
      <c r="E74" s="73">
        <f>450+250+550+700</f>
        <v>1950</v>
      </c>
      <c r="F74" s="97"/>
      <c r="G74" s="64"/>
      <c r="H74" s="2">
        <f t="shared" si="10"/>
        <v>6250</v>
      </c>
    </row>
    <row r="75" spans="2:8" x14ac:dyDescent="0.25">
      <c r="B75" s="8" t="s">
        <v>67</v>
      </c>
      <c r="C75" s="9"/>
      <c r="D75" s="9"/>
      <c r="E75" s="9">
        <f>400-150-50</f>
        <v>200</v>
      </c>
      <c r="F75" s="64"/>
      <c r="G75" s="64"/>
      <c r="H75" s="2">
        <f t="shared" si="10"/>
        <v>200</v>
      </c>
    </row>
    <row r="76" spans="2:8" x14ac:dyDescent="0.25">
      <c r="B76" s="8" t="s">
        <v>68</v>
      </c>
      <c r="C76" s="9"/>
      <c r="D76" s="9"/>
      <c r="E76" s="9">
        <f>100-100</f>
        <v>0</v>
      </c>
      <c r="F76" s="64"/>
      <c r="G76" s="64"/>
      <c r="H76" s="2">
        <f t="shared" si="10"/>
        <v>0</v>
      </c>
    </row>
    <row r="77" spans="2:8" x14ac:dyDescent="0.25">
      <c r="B77" s="8" t="s">
        <v>69</v>
      </c>
      <c r="C77" s="9"/>
      <c r="D77" s="9"/>
      <c r="E77" s="102">
        <v>70</v>
      </c>
      <c r="F77" s="64"/>
      <c r="G77" s="64"/>
      <c r="H77" s="2">
        <f t="shared" si="10"/>
        <v>70</v>
      </c>
    </row>
    <row r="78" spans="2:8" x14ac:dyDescent="0.25">
      <c r="B78" s="8" t="s">
        <v>70</v>
      </c>
      <c r="C78" s="9"/>
      <c r="D78" s="102">
        <v>970</v>
      </c>
      <c r="E78" s="9">
        <v>230</v>
      </c>
      <c r="F78" s="64"/>
      <c r="G78" s="64"/>
      <c r="H78" s="2">
        <f t="shared" si="10"/>
        <v>1200</v>
      </c>
    </row>
    <row r="79" spans="2:8" x14ac:dyDescent="0.25">
      <c r="B79" s="8" t="s">
        <v>71</v>
      </c>
      <c r="C79" s="9"/>
      <c r="D79" s="9"/>
      <c r="E79" s="102">
        <f>100+50</f>
        <v>150</v>
      </c>
      <c r="F79" s="64"/>
      <c r="G79" s="64"/>
      <c r="H79" s="2">
        <f t="shared" si="10"/>
        <v>150</v>
      </c>
    </row>
    <row r="80" spans="2:8" x14ac:dyDescent="0.25">
      <c r="B80" s="8" t="s">
        <v>72</v>
      </c>
      <c r="C80" s="9">
        <f>200-50</f>
        <v>150</v>
      </c>
      <c r="D80" s="9"/>
      <c r="E80" s="9"/>
      <c r="F80" s="64"/>
      <c r="G80" s="64"/>
      <c r="H80" s="2">
        <f t="shared" si="10"/>
        <v>150</v>
      </c>
    </row>
    <row r="81" spans="2:8" x14ac:dyDescent="0.25">
      <c r="B81" s="8" t="s">
        <v>73</v>
      </c>
      <c r="C81" s="9"/>
      <c r="D81" s="102">
        <f>60+100</f>
        <v>160</v>
      </c>
      <c r="E81" s="9">
        <v>600</v>
      </c>
      <c r="F81" s="64"/>
      <c r="G81" s="64"/>
      <c r="H81" s="2">
        <f t="shared" si="10"/>
        <v>760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9">
        <v>1000</v>
      </c>
      <c r="F84" s="64"/>
      <c r="G84" s="64"/>
      <c r="H84" s="2">
        <f t="shared" si="10"/>
        <v>1000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102">
        <f>5200+500</f>
        <v>5700</v>
      </c>
      <c r="D88" s="9"/>
      <c r="E88" s="9"/>
      <c r="F88" s="64"/>
      <c r="G88" s="64"/>
      <c r="H88" s="2">
        <f t="shared" si="10"/>
        <v>5700</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14">
        <f>60+1472</f>
        <v>1532</v>
      </c>
      <c r="E91" s="1">
        <f>1800-280+100</f>
        <v>1620</v>
      </c>
      <c r="F91" s="37"/>
      <c r="G91" s="37"/>
      <c r="H91" s="2">
        <f t="shared" si="10"/>
        <v>3152</v>
      </c>
    </row>
    <row r="92" spans="2:8" ht="15.75" thickBot="1" x14ac:dyDescent="0.3">
      <c r="B92" s="41" t="s">
        <v>84</v>
      </c>
      <c r="C92" s="45">
        <f>SUM(C93:C98)</f>
        <v>1650</v>
      </c>
      <c r="D92" s="45"/>
      <c r="E92" s="45">
        <f t="shared" ref="E92:G92" si="11">SUM(E93:E98)</f>
        <v>8900</v>
      </c>
      <c r="F92" s="45">
        <f t="shared" si="11"/>
        <v>1870</v>
      </c>
      <c r="G92" s="45">
        <f t="shared" si="11"/>
        <v>0</v>
      </c>
      <c r="H92" s="45">
        <f>SUM(H93:H98)</f>
        <v>12420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102">
        <f>2000+800+1000-500-500</f>
        <v>2800</v>
      </c>
      <c r="F95" s="64"/>
      <c r="G95" s="64"/>
      <c r="H95" s="9">
        <f t="shared" si="12"/>
        <v>2800</v>
      </c>
    </row>
    <row r="96" spans="2:8" x14ac:dyDescent="0.25">
      <c r="B96" s="8" t="s">
        <v>87</v>
      </c>
      <c r="C96" s="9">
        <v>1000</v>
      </c>
      <c r="D96" s="9"/>
      <c r="E96" s="102">
        <f>200+300+500+2000-500</f>
        <v>2500</v>
      </c>
      <c r="F96" s="64"/>
      <c r="G96" s="64"/>
      <c r="H96" s="9">
        <f t="shared" si="12"/>
        <v>3500</v>
      </c>
    </row>
    <row r="97" spans="2:8" x14ac:dyDescent="0.25">
      <c r="B97" s="8" t="s">
        <v>88</v>
      </c>
      <c r="C97" s="9"/>
      <c r="D97" s="9"/>
      <c r="E97" s="9">
        <v>50</v>
      </c>
      <c r="F97" s="64"/>
      <c r="G97" s="64"/>
      <c r="H97" s="9">
        <f t="shared" si="12"/>
        <v>50</v>
      </c>
    </row>
    <row r="98" spans="2:8" ht="15.75" thickBot="1" x14ac:dyDescent="0.3">
      <c r="B98" s="12" t="s">
        <v>89</v>
      </c>
      <c r="C98" s="1"/>
      <c r="D98" s="1"/>
      <c r="E98" s="93">
        <f>3500-500+500</f>
        <v>3500</v>
      </c>
      <c r="F98" s="98">
        <v>1870</v>
      </c>
      <c r="G98" s="37"/>
      <c r="H98" s="2">
        <f t="shared" si="12"/>
        <v>5370</v>
      </c>
    </row>
    <row r="99" spans="2:8" ht="15.75" thickBot="1" x14ac:dyDescent="0.3">
      <c r="B99" s="41" t="s">
        <v>90</v>
      </c>
      <c r="C99" s="45">
        <f>SUM(C100:C123)</f>
        <v>26460</v>
      </c>
      <c r="D99" s="45"/>
      <c r="E99" s="45">
        <f t="shared" ref="E99:H99" si="13">SUM(E100:E123)</f>
        <v>2060</v>
      </c>
      <c r="F99" s="45">
        <f>SUM(F100:F123)</f>
        <v>500</v>
      </c>
      <c r="G99" s="45">
        <f t="shared" si="13"/>
        <v>0</v>
      </c>
      <c r="H99" s="45">
        <f t="shared" si="13"/>
        <v>29020</v>
      </c>
    </row>
    <row r="100" spans="2:8" x14ac:dyDescent="0.25">
      <c r="B100" s="6" t="s">
        <v>91</v>
      </c>
      <c r="C100" s="126">
        <f>800-600</f>
        <v>200</v>
      </c>
      <c r="D100" s="75"/>
      <c r="E100" s="7"/>
      <c r="F100" s="7"/>
      <c r="G100" s="7"/>
      <c r="H100" s="9">
        <f>SUM(C100:G100)</f>
        <v>200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104">
        <f>200+100</f>
        <v>300</v>
      </c>
      <c r="D103" s="73"/>
      <c r="E103" s="9"/>
      <c r="F103" s="9"/>
      <c r="G103" s="9"/>
      <c r="H103" s="9">
        <f t="shared" si="14"/>
        <v>300</v>
      </c>
    </row>
    <row r="104" spans="2:8" x14ac:dyDescent="0.25">
      <c r="B104" s="8" t="s">
        <v>94</v>
      </c>
      <c r="C104" s="104">
        <f>800+400</f>
        <v>1200</v>
      </c>
      <c r="D104" s="73"/>
      <c r="E104" s="9"/>
      <c r="F104" s="9"/>
      <c r="G104" s="9"/>
      <c r="H104" s="9">
        <f t="shared" si="14"/>
        <v>1200</v>
      </c>
    </row>
    <row r="105" spans="2:8" x14ac:dyDescent="0.25">
      <c r="B105" s="8" t="s">
        <v>95</v>
      </c>
      <c r="C105" s="104">
        <f>300+100-100</f>
        <v>300</v>
      </c>
      <c r="D105" s="73"/>
      <c r="E105" s="9"/>
      <c r="F105" s="9"/>
      <c r="G105" s="9"/>
      <c r="H105" s="9">
        <f t="shared" si="14"/>
        <v>300</v>
      </c>
    </row>
    <row r="106" spans="2:8" x14ac:dyDescent="0.25">
      <c r="B106" s="8" t="s">
        <v>96</v>
      </c>
      <c r="C106" s="104">
        <f>1250+500</f>
        <v>1750</v>
      </c>
      <c r="D106" s="73"/>
      <c r="E106" s="9">
        <v>10</v>
      </c>
      <c r="F106" s="9"/>
      <c r="G106" s="9"/>
      <c r="H106" s="9">
        <f t="shared" si="14"/>
        <v>1760</v>
      </c>
    </row>
    <row r="107" spans="2:8" x14ac:dyDescent="0.25">
      <c r="B107" s="8" t="s">
        <v>160</v>
      </c>
      <c r="C107" s="73">
        <v>0</v>
      </c>
      <c r="D107" s="73"/>
      <c r="E107" s="9"/>
      <c r="F107" s="9"/>
      <c r="G107" s="9"/>
      <c r="H107" s="9">
        <f t="shared" si="14"/>
        <v>0</v>
      </c>
    </row>
    <row r="108" spans="2:8" x14ac:dyDescent="0.25">
      <c r="B108" s="8" t="s">
        <v>97</v>
      </c>
      <c r="C108" s="73">
        <v>1200</v>
      </c>
      <c r="D108" s="73"/>
      <c r="E108" s="9"/>
      <c r="F108" s="9"/>
      <c r="G108" s="9"/>
      <c r="H108" s="9">
        <f t="shared" si="14"/>
        <v>1200</v>
      </c>
    </row>
    <row r="109" spans="2:8" x14ac:dyDescent="0.25">
      <c r="B109" s="8" t="s">
        <v>98</v>
      </c>
      <c r="C109" s="104">
        <f>1200-600</f>
        <v>600</v>
      </c>
      <c r="D109" s="73"/>
      <c r="E109" s="9"/>
      <c r="F109" s="9"/>
      <c r="G109" s="9"/>
      <c r="H109" s="9">
        <f t="shared" si="14"/>
        <v>600</v>
      </c>
    </row>
    <row r="110" spans="2:8" x14ac:dyDescent="0.25">
      <c r="B110" s="8" t="s">
        <v>99</v>
      </c>
      <c r="C110" s="108">
        <f>5000+1000+1200+600</f>
        <v>7800</v>
      </c>
      <c r="D110" s="9"/>
      <c r="E110" s="9"/>
      <c r="F110" s="9"/>
      <c r="G110" s="9"/>
      <c r="H110" s="9">
        <f t="shared" si="14"/>
        <v>7800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104">
        <f>900+200</f>
        <v>1100</v>
      </c>
      <c r="D113" s="73"/>
      <c r="E113" s="9"/>
      <c r="F113" s="9"/>
      <c r="G113" s="9"/>
      <c r="H113" s="9">
        <f t="shared" si="14"/>
        <v>1100</v>
      </c>
    </row>
    <row r="114" spans="2:12" x14ac:dyDescent="0.25">
      <c r="B114" s="8" t="s">
        <v>102</v>
      </c>
      <c r="C114" s="73">
        <v>1200</v>
      </c>
      <c r="D114" s="73"/>
      <c r="E114" s="9"/>
      <c r="F114" s="9"/>
      <c r="G114" s="9"/>
      <c r="H114" s="9">
        <f t="shared" si="14"/>
        <v>1200</v>
      </c>
    </row>
    <row r="115" spans="2:12" x14ac:dyDescent="0.25">
      <c r="B115" s="8" t="s">
        <v>103</v>
      </c>
      <c r="C115" s="73">
        <v>100</v>
      </c>
      <c r="D115" s="73"/>
      <c r="E115" s="9"/>
      <c r="F115" s="9"/>
      <c r="G115" s="9"/>
      <c r="H115" s="9">
        <f t="shared" si="14"/>
        <v>100</v>
      </c>
    </row>
    <row r="116" spans="2:12" x14ac:dyDescent="0.25">
      <c r="B116" s="8" t="s">
        <v>104</v>
      </c>
      <c r="C116" s="9">
        <v>500</v>
      </c>
      <c r="D116" s="9"/>
      <c r="E116" s="9">
        <f>500+50</f>
        <v>550</v>
      </c>
      <c r="F116" s="9"/>
      <c r="G116" s="9"/>
      <c r="H116" s="9">
        <f t="shared" si="14"/>
        <v>1050</v>
      </c>
    </row>
    <row r="117" spans="2:12" x14ac:dyDescent="0.25">
      <c r="B117" s="8" t="s">
        <v>105</v>
      </c>
      <c r="C117" s="104">
        <f>200-100</f>
        <v>100</v>
      </c>
      <c r="D117" s="73"/>
      <c r="E117" s="9"/>
      <c r="F117" s="9"/>
      <c r="G117" s="9"/>
      <c r="H117" s="9">
        <f t="shared" si="14"/>
        <v>100</v>
      </c>
    </row>
    <row r="118" spans="2:12" x14ac:dyDescent="0.25">
      <c r="B118" s="8" t="s">
        <v>106</v>
      </c>
      <c r="C118" s="73">
        <v>1200</v>
      </c>
      <c r="D118" s="73"/>
      <c r="E118" s="9"/>
      <c r="F118" s="9"/>
      <c r="G118" s="9"/>
      <c r="H118" s="9">
        <f t="shared" si="14"/>
        <v>1200</v>
      </c>
    </row>
    <row r="119" spans="2:12" x14ac:dyDescent="0.25">
      <c r="B119" s="8" t="s">
        <v>107</v>
      </c>
      <c r="C119" s="104">
        <f>4100-100-500</f>
        <v>3500</v>
      </c>
      <c r="D119" s="104"/>
      <c r="E119" s="9"/>
      <c r="F119" s="9">
        <v>500</v>
      </c>
      <c r="G119" s="9"/>
      <c r="H119" s="9">
        <f t="shared" si="14"/>
        <v>4000</v>
      </c>
    </row>
    <row r="120" spans="2:12" x14ac:dyDescent="0.25">
      <c r="B120" s="23" t="s">
        <v>108</v>
      </c>
      <c r="C120" s="9">
        <f>1850+340+258+64+120-250-300-82+220-100</f>
        <v>2120</v>
      </c>
      <c r="D120" s="102"/>
      <c r="E120" s="9"/>
      <c r="F120" s="9"/>
      <c r="G120" s="9"/>
      <c r="H120" s="9">
        <f t="shared" si="14"/>
        <v>2120</v>
      </c>
    </row>
    <row r="121" spans="2:12" x14ac:dyDescent="0.25">
      <c r="B121" s="8" t="s">
        <v>109</v>
      </c>
      <c r="C121" s="9">
        <v>900</v>
      </c>
      <c r="D121" s="9"/>
      <c r="E121" s="9"/>
      <c r="F121" s="9"/>
      <c r="G121" s="9"/>
      <c r="H121" s="9">
        <f t="shared" si="14"/>
        <v>900</v>
      </c>
    </row>
    <row r="122" spans="2:12" x14ac:dyDescent="0.25">
      <c r="B122" s="8" t="s">
        <v>110</v>
      </c>
      <c r="C122" s="9"/>
      <c r="D122" s="9"/>
      <c r="E122" s="102">
        <f>1200+200</f>
        <v>1400</v>
      </c>
      <c r="F122" s="9"/>
      <c r="G122" s="9"/>
      <c r="H122" s="9">
        <f t="shared" si="14"/>
        <v>1400</v>
      </c>
      <c r="L122" s="56"/>
    </row>
    <row r="123" spans="2:12" ht="15.75" thickBot="1" x14ac:dyDescent="0.3">
      <c r="B123" s="12" t="s">
        <v>111</v>
      </c>
      <c r="C123" s="121">
        <f>800+100</f>
        <v>900</v>
      </c>
      <c r="D123" s="36"/>
      <c r="E123" s="1"/>
      <c r="F123" s="1"/>
      <c r="G123" s="36"/>
      <c r="H123" s="9">
        <f t="shared" si="14"/>
        <v>900</v>
      </c>
    </row>
    <row r="124" spans="2:12" ht="15.75" thickBot="1" x14ac:dyDescent="0.3">
      <c r="B124" s="41" t="s">
        <v>112</v>
      </c>
      <c r="C124" s="45">
        <f>SUM(C125:C145)</f>
        <v>188332</v>
      </c>
      <c r="D124" s="45">
        <f>SUM(D125:D145)</f>
        <v>103</v>
      </c>
      <c r="E124" s="45">
        <f t="shared" ref="E124" si="15">SUM(E125:E145)</f>
        <v>6070</v>
      </c>
      <c r="F124" s="45"/>
      <c r="G124" s="45"/>
      <c r="H124" s="45">
        <f>SUM(H125:H145)</f>
        <v>194505</v>
      </c>
      <c r="L124" s="56"/>
    </row>
    <row r="125" spans="2:12" x14ac:dyDescent="0.25">
      <c r="B125" s="6" t="s">
        <v>113</v>
      </c>
      <c r="C125" s="124">
        <f>5700+600+400</f>
        <v>6700</v>
      </c>
      <c r="D125" s="7"/>
      <c r="E125" s="7">
        <v>150</v>
      </c>
      <c r="F125" s="7"/>
      <c r="G125" s="7"/>
      <c r="H125" s="9">
        <f>SUM(C125:G125)</f>
        <v>6850</v>
      </c>
    </row>
    <row r="126" spans="2:12" x14ac:dyDescent="0.25">
      <c r="B126" s="8" t="s">
        <v>114</v>
      </c>
      <c r="C126" s="73">
        <v>350</v>
      </c>
      <c r="D126" s="73"/>
      <c r="E126" s="9"/>
      <c r="F126" s="9"/>
      <c r="G126" s="9"/>
      <c r="H126" s="9">
        <f t="shared" ref="H126:H145" si="16">SUM(C126:G126)</f>
        <v>350</v>
      </c>
    </row>
    <row r="127" spans="2:12" x14ac:dyDescent="0.25">
      <c r="B127" s="8" t="s">
        <v>162</v>
      </c>
      <c r="C127" s="73">
        <v>100</v>
      </c>
      <c r="D127" s="73"/>
      <c r="E127" s="9"/>
      <c r="F127" s="9"/>
      <c r="G127" s="9"/>
      <c r="H127" s="9">
        <f t="shared" si="16"/>
        <v>100</v>
      </c>
    </row>
    <row r="128" spans="2:12" x14ac:dyDescent="0.25">
      <c r="B128" s="8" t="s">
        <v>115</v>
      </c>
      <c r="C128" s="73">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73">
        <f>8500+1500+72+965-1000</f>
        <v>10037</v>
      </c>
      <c r="D132" s="104"/>
      <c r="E132" s="9">
        <v>1000</v>
      </c>
      <c r="F132" s="9"/>
      <c r="G132" s="9"/>
      <c r="H132" s="9">
        <f t="shared" si="16"/>
        <v>11037</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73">
        <f>21800+5000+5700</f>
        <v>32500</v>
      </c>
      <c r="D135" s="104"/>
      <c r="E135" s="9">
        <f>1000-200</f>
        <v>800</v>
      </c>
      <c r="F135" s="9"/>
      <c r="G135" s="9"/>
      <c r="H135" s="9">
        <f t="shared" si="16"/>
        <v>33300</v>
      </c>
    </row>
    <row r="136" spans="2:8" x14ac:dyDescent="0.25">
      <c r="B136" s="8" t="s">
        <v>122</v>
      </c>
      <c r="C136" s="66">
        <f>53648+7892</f>
        <v>61540</v>
      </c>
      <c r="D136" s="108"/>
      <c r="E136" s="9">
        <f>1000-200-200</f>
        <v>600</v>
      </c>
      <c r="F136" s="9"/>
      <c r="G136" s="66"/>
      <c r="H136" s="9">
        <f t="shared" si="16"/>
        <v>62140</v>
      </c>
    </row>
    <row r="137" spans="2:8" x14ac:dyDescent="0.25">
      <c r="B137" s="8" t="s">
        <v>158</v>
      </c>
      <c r="C137" s="66">
        <f>33077+3200+29000</f>
        <v>65277</v>
      </c>
      <c r="D137" s="66"/>
      <c r="E137" s="9">
        <v>500</v>
      </c>
      <c r="F137" s="9"/>
      <c r="G137" s="9"/>
      <c r="H137" s="9">
        <f t="shared" si="16"/>
        <v>65777</v>
      </c>
    </row>
    <row r="138" spans="2:8" x14ac:dyDescent="0.25">
      <c r="B138" s="8" t="s">
        <v>123</v>
      </c>
      <c r="C138" s="125">
        <v>1200</v>
      </c>
      <c r="D138" s="103">
        <v>64</v>
      </c>
      <c r="E138" s="90">
        <f>1000-500+500+200</f>
        <v>1200</v>
      </c>
      <c r="F138" s="90"/>
      <c r="G138" s="13"/>
      <c r="H138" s="9">
        <f t="shared" si="16"/>
        <v>2464</v>
      </c>
    </row>
    <row r="139" spans="2:8" x14ac:dyDescent="0.25">
      <c r="B139" s="8" t="s">
        <v>124</v>
      </c>
      <c r="C139" s="9">
        <v>3100</v>
      </c>
      <c r="D139" s="9"/>
      <c r="E139" s="9"/>
      <c r="F139" s="9"/>
      <c r="G139" s="9"/>
      <c r="H139" s="9">
        <f t="shared" si="16"/>
        <v>3100</v>
      </c>
    </row>
    <row r="140" spans="2:8" x14ac:dyDescent="0.25">
      <c r="B140" s="8" t="s">
        <v>125</v>
      </c>
      <c r="C140" s="102">
        <f>1800-600</f>
        <v>1200</v>
      </c>
      <c r="D140" s="9"/>
      <c r="E140" s="9"/>
      <c r="F140" s="9"/>
      <c r="G140" s="9"/>
      <c r="H140" s="9">
        <f t="shared" si="16"/>
        <v>1200</v>
      </c>
    </row>
    <row r="141" spans="2:8" x14ac:dyDescent="0.25">
      <c r="B141" s="8" t="s">
        <v>164</v>
      </c>
      <c r="C141" s="9">
        <f>166-38</f>
        <v>128</v>
      </c>
      <c r="D141" s="102"/>
      <c r="E141" s="9"/>
      <c r="F141" s="9"/>
      <c r="G141" s="9"/>
      <c r="H141" s="9">
        <f t="shared" si="16"/>
        <v>128</v>
      </c>
    </row>
    <row r="142" spans="2:8" x14ac:dyDescent="0.25">
      <c r="B142" s="8" t="s">
        <v>126</v>
      </c>
      <c r="C142" s="102">
        <f>1200+300</f>
        <v>1500</v>
      </c>
      <c r="D142" s="9"/>
      <c r="E142" s="102">
        <f>100+100</f>
        <v>200</v>
      </c>
      <c r="F142" s="9"/>
      <c r="G142" s="9"/>
      <c r="H142" s="9">
        <f t="shared" si="16"/>
        <v>1700</v>
      </c>
    </row>
    <row r="143" spans="2:8" x14ac:dyDescent="0.25">
      <c r="B143" s="8" t="s">
        <v>127</v>
      </c>
      <c r="C143" s="9">
        <v>1600</v>
      </c>
      <c r="D143" s="9"/>
      <c r="E143" s="9"/>
      <c r="F143" s="9"/>
      <c r="G143" s="9"/>
      <c r="H143" s="9">
        <f t="shared" si="16"/>
        <v>1600</v>
      </c>
    </row>
    <row r="144" spans="2:8" x14ac:dyDescent="0.25">
      <c r="B144" s="8" t="s">
        <v>128</v>
      </c>
      <c r="C144" s="66">
        <f>400-100</f>
        <v>300</v>
      </c>
      <c r="D144" s="66"/>
      <c r="E144" s="9">
        <v>100</v>
      </c>
      <c r="F144" s="9"/>
      <c r="G144" s="9"/>
      <c r="H144" s="9">
        <f>SUM(C144:G144)</f>
        <v>400</v>
      </c>
    </row>
    <row r="145" spans="2:8" ht="15.75" thickBot="1" x14ac:dyDescent="0.3">
      <c r="B145" s="17" t="s">
        <v>129</v>
      </c>
      <c r="C145" s="1"/>
      <c r="D145" s="114">
        <v>39</v>
      </c>
      <c r="E145" s="1">
        <f>600+200</f>
        <v>800</v>
      </c>
      <c r="F145" s="1"/>
      <c r="G145" s="1"/>
      <c r="H145" s="9">
        <f t="shared" si="16"/>
        <v>839</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120">
        <f>1500+1500+200+500</f>
        <v>3700</v>
      </c>
      <c r="F147" s="100"/>
      <c r="G147" s="81"/>
      <c r="H147" s="72">
        <f t="shared" ref="H147" si="17">SUM(C147:G147)</f>
        <v>3700</v>
      </c>
    </row>
    <row r="148" spans="2:8" ht="15.75" thickBot="1" x14ac:dyDescent="0.3">
      <c r="B148" s="47" t="s">
        <v>151</v>
      </c>
      <c r="C148" s="65">
        <f>SUM(C149:C152)</f>
        <v>2000</v>
      </c>
      <c r="D148" s="44"/>
      <c r="E148" s="86">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119">
        <f>200+400+100-200+300</f>
        <v>800</v>
      </c>
      <c r="F154" s="43"/>
      <c r="G154" s="82"/>
      <c r="H154" s="44">
        <f>SUM(C154:E154)</f>
        <v>800</v>
      </c>
    </row>
    <row r="155" spans="2:8" ht="16.5" thickBot="1" x14ac:dyDescent="0.3">
      <c r="B155" s="29" t="s">
        <v>136</v>
      </c>
      <c r="C155" s="30">
        <f>SUM(C19,C20,C21,C29,C32,C57,C67,C92,C99,C124,C146,C147,C148,C153,C154,C22)</f>
        <v>2730303</v>
      </c>
      <c r="D155" s="30">
        <f>SUM(D19,D20,D21,D29,D32,D57,D67,D92,D99,D124,D146,D147,D148,D153,D154,D22)</f>
        <v>8523</v>
      </c>
      <c r="E155" s="30">
        <f>SUM(E19,E20,E21,E29,E32,E57,E67,E92,E99,E124,E146,E147,E148,E153,E154,E22)</f>
        <v>78730</v>
      </c>
      <c r="F155" s="30">
        <f>SUM(F19,F20,F21,F29,F32,F57,F67,F92,F99,F124,F146,F147,F148,F153,F154,F22)</f>
        <v>2551</v>
      </c>
      <c r="G155" s="30">
        <f>SUM(G19,G20,G21,G29,G32,G57,G67,G92,G99,G124,G146,G147,G148,G153,G154,G22)</f>
        <v>288</v>
      </c>
      <c r="H155" s="30">
        <f>SUM(H19,H20,H21,H22,H29,H32,H57,H67,H92,H99,H124,H146,H147,H148,H153,H154)</f>
        <v>2820395</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20"/>
      <c r="E158" s="9"/>
      <c r="F158" s="64"/>
      <c r="G158" s="77"/>
      <c r="H158" s="2">
        <f t="shared" si="20"/>
        <v>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64">
        <v>4000</v>
      </c>
      <c r="G161" s="77"/>
      <c r="H161" s="2">
        <f t="shared" si="20"/>
        <v>4000</v>
      </c>
    </row>
    <row r="162" spans="1:12" x14ac:dyDescent="0.25">
      <c r="B162" s="21" t="s">
        <v>140</v>
      </c>
      <c r="C162" s="20"/>
      <c r="D162" s="20">
        <v>23084</v>
      </c>
      <c r="E162" s="9">
        <f>200-100-50</f>
        <v>50</v>
      </c>
      <c r="F162" s="64"/>
      <c r="G162" s="77"/>
      <c r="H162" s="2">
        <f t="shared" si="20"/>
        <v>23134</v>
      </c>
    </row>
    <row r="163" spans="1:12" x14ac:dyDescent="0.25">
      <c r="B163" s="19" t="s">
        <v>141</v>
      </c>
      <c r="C163" s="20"/>
      <c r="D163" s="20">
        <v>34727</v>
      </c>
      <c r="E163" s="9">
        <f>600-200</f>
        <v>400</v>
      </c>
      <c r="F163" s="64"/>
      <c r="G163" s="77"/>
      <c r="H163" s="2">
        <f t="shared" si="20"/>
        <v>35127</v>
      </c>
    </row>
    <row r="164" spans="1:12" x14ac:dyDescent="0.25">
      <c r="B164" s="21" t="s">
        <v>142</v>
      </c>
      <c r="C164" s="20"/>
      <c r="D164" s="20">
        <v>500</v>
      </c>
      <c r="E164" s="9">
        <f>400+200+150+100+200+20+100+50</f>
        <v>1220</v>
      </c>
      <c r="F164" s="64">
        <v>729</v>
      </c>
      <c r="G164" s="77"/>
      <c r="H164" s="2">
        <f t="shared" si="20"/>
        <v>2449</v>
      </c>
      <c r="K164" s="56"/>
    </row>
    <row r="165" spans="1:12" x14ac:dyDescent="0.25">
      <c r="B165" s="21" t="s">
        <v>176</v>
      </c>
      <c r="C165" s="20"/>
      <c r="D165" s="20"/>
      <c r="E165" s="9">
        <f>15+20</f>
        <v>35</v>
      </c>
      <c r="F165" s="64"/>
      <c r="G165" s="77"/>
      <c r="H165" s="2">
        <f t="shared" si="20"/>
        <v>35</v>
      </c>
    </row>
    <row r="166" spans="1:12" x14ac:dyDescent="0.25">
      <c r="B166" s="19" t="s">
        <v>143</v>
      </c>
      <c r="C166" s="20"/>
      <c r="D166" s="20"/>
      <c r="E166" s="102">
        <f>300-150+100+300+50</f>
        <v>600</v>
      </c>
      <c r="F166" s="64"/>
      <c r="G166" s="77"/>
      <c r="H166" s="2">
        <f t="shared" si="20"/>
        <v>600</v>
      </c>
    </row>
    <row r="167" spans="1:12" x14ac:dyDescent="0.25">
      <c r="B167" s="22" t="s">
        <v>144</v>
      </c>
      <c r="C167" s="20"/>
      <c r="D167" s="20">
        <v>22200</v>
      </c>
      <c r="E167" s="9">
        <v>500</v>
      </c>
      <c r="F167" s="64"/>
      <c r="G167" s="77"/>
      <c r="H167" s="2">
        <f t="shared" si="20"/>
        <v>22700</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80511</v>
      </c>
      <c r="E171" s="30">
        <f>SUM(E156:E170)</f>
        <v>2955</v>
      </c>
      <c r="F171" s="30">
        <f t="shared" si="21"/>
        <v>4729</v>
      </c>
      <c r="G171" s="30">
        <f t="shared" si="21"/>
        <v>2797</v>
      </c>
      <c r="H171" s="30">
        <f t="shared" si="21"/>
        <v>90992</v>
      </c>
    </row>
    <row r="172" spans="1:12" ht="16.5" customHeight="1" thickBot="1" x14ac:dyDescent="0.3">
      <c r="B172" s="34" t="s">
        <v>148</v>
      </c>
      <c r="C172" s="35">
        <f t="shared" ref="C172:G172" si="22">C155+C171</f>
        <v>2730303</v>
      </c>
      <c r="D172" s="35">
        <f t="shared" si="22"/>
        <v>89034</v>
      </c>
      <c r="E172" s="35">
        <f t="shared" si="22"/>
        <v>81685</v>
      </c>
      <c r="F172" s="35">
        <f>F155+F171</f>
        <v>7280</v>
      </c>
      <c r="G172" s="35">
        <f t="shared" si="22"/>
        <v>3085</v>
      </c>
      <c r="H172" s="35">
        <f>H155+H171</f>
        <v>2911387</v>
      </c>
      <c r="L172" s="56"/>
    </row>
    <row r="173" spans="1:12" ht="174" customHeight="1" x14ac:dyDescent="0.25">
      <c r="A173" s="89"/>
      <c r="B173" s="146" t="s">
        <v>214</v>
      </c>
      <c r="C173" s="146"/>
      <c r="D173" s="146"/>
      <c r="E173" s="146"/>
      <c r="F173" s="146"/>
      <c r="G173" s="146"/>
      <c r="H173" s="146"/>
    </row>
    <row r="174" spans="1:12" ht="15" customHeight="1" x14ac:dyDescent="0.25">
      <c r="E174" s="147" t="s">
        <v>179</v>
      </c>
      <c r="F174" s="147"/>
      <c r="G174" s="147"/>
      <c r="H174" s="147"/>
    </row>
    <row r="175" spans="1:12" ht="1.5" hidden="1" customHeight="1" x14ac:dyDescent="0.25">
      <c r="E175" s="147" t="s">
        <v>180</v>
      </c>
      <c r="F175" s="147"/>
      <c r="G175" s="147"/>
      <c r="H175" s="147"/>
    </row>
    <row r="176" spans="1:12" hidden="1" x14ac:dyDescent="0.25">
      <c r="C176" s="56"/>
      <c r="D176" s="56"/>
      <c r="E176" s="147"/>
      <c r="F176" s="147"/>
      <c r="G176" s="147"/>
      <c r="H176" s="147"/>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zoomScale="110" zoomScaleNormal="110" workbookViewId="0">
      <selection activeCell="B12" sqref="B12"/>
    </sheetView>
  </sheetViews>
  <sheetFormatPr defaultRowHeight="15" x14ac:dyDescent="0.25"/>
  <cols>
    <col min="1" max="1" width="54.7109375" customWidth="1"/>
    <col min="2" max="2" width="13.5703125" customWidth="1"/>
    <col min="3" max="3" width="12.7109375" customWidth="1"/>
  </cols>
  <sheetData>
    <row r="2" spans="1:3" x14ac:dyDescent="0.25">
      <c r="A2" s="148" t="s">
        <v>0</v>
      </c>
      <c r="B2" s="148"/>
      <c r="C2" s="148"/>
    </row>
    <row r="3" spans="1:3" x14ac:dyDescent="0.25">
      <c r="A3" s="149" t="s">
        <v>213</v>
      </c>
      <c r="B3" s="149"/>
      <c r="C3" s="149"/>
    </row>
    <row r="4" spans="1:3" ht="15.75" thickBot="1" x14ac:dyDescent="0.3">
      <c r="A4" s="59"/>
      <c r="B4" s="5" t="s">
        <v>1</v>
      </c>
      <c r="C4" s="122"/>
    </row>
    <row r="5" spans="1:3" ht="43.5" thickBot="1" x14ac:dyDescent="0.3">
      <c r="A5" s="24" t="s">
        <v>2</v>
      </c>
      <c r="B5" s="25" t="s">
        <v>5</v>
      </c>
      <c r="C5" s="57" t="s">
        <v>154</v>
      </c>
    </row>
    <row r="6" spans="1:3" ht="15.75" x14ac:dyDescent="0.25">
      <c r="A6" s="26" t="s">
        <v>6</v>
      </c>
      <c r="B6" s="28"/>
      <c r="C6" s="28"/>
    </row>
    <row r="7" spans="1:3" x14ac:dyDescent="0.25">
      <c r="A7" s="6" t="s">
        <v>9</v>
      </c>
      <c r="B7" s="2">
        <v>2694462</v>
      </c>
      <c r="C7" s="67" t="s">
        <v>7</v>
      </c>
    </row>
    <row r="8" spans="1:3" x14ac:dyDescent="0.25">
      <c r="A8" s="8" t="s">
        <v>10</v>
      </c>
      <c r="B8" s="2">
        <v>30703</v>
      </c>
      <c r="C8" s="67" t="s">
        <v>7</v>
      </c>
    </row>
    <row r="9" spans="1:3" x14ac:dyDescent="0.25">
      <c r="A9" s="8" t="s">
        <v>195</v>
      </c>
      <c r="B9" s="2">
        <v>67385</v>
      </c>
      <c r="C9" s="67" t="s">
        <v>8</v>
      </c>
    </row>
    <row r="10" spans="1:3" x14ac:dyDescent="0.25">
      <c r="A10" s="8" t="s">
        <v>169</v>
      </c>
      <c r="B10" s="2">
        <v>11177</v>
      </c>
      <c r="C10" s="67" t="s">
        <v>155</v>
      </c>
    </row>
    <row r="11" spans="1:3" x14ac:dyDescent="0.25">
      <c r="A11" s="8" t="s">
        <v>171</v>
      </c>
      <c r="B11" s="2">
        <v>95633</v>
      </c>
      <c r="C11" s="67" t="s">
        <v>202</v>
      </c>
    </row>
    <row r="12" spans="1:3" x14ac:dyDescent="0.25">
      <c r="A12" s="8" t="s">
        <v>196</v>
      </c>
      <c r="B12" s="2">
        <v>681</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2911387</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2284333</v>
      </c>
      <c r="C19" s="63" t="s">
        <v>211</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2">
        <v>47924</v>
      </c>
      <c r="C22" s="69" t="s">
        <v>155</v>
      </c>
    </row>
    <row r="23" spans="1:3" x14ac:dyDescent="0.25">
      <c r="A23" s="110" t="s">
        <v>177</v>
      </c>
      <c r="B23" s="75">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2700</v>
      </c>
      <c r="C27" s="60" t="s">
        <v>155</v>
      </c>
    </row>
    <row r="28" spans="1:3" ht="15.75" thickBot="1" x14ac:dyDescent="0.3">
      <c r="A28" s="8" t="s">
        <v>167</v>
      </c>
      <c r="B28" s="7">
        <v>26170</v>
      </c>
      <c r="C28" s="60" t="s">
        <v>155</v>
      </c>
    </row>
    <row r="29" spans="1:3" ht="15.75" thickBot="1" x14ac:dyDescent="0.3">
      <c r="A29" s="41" t="s">
        <v>24</v>
      </c>
      <c r="B29" s="45">
        <v>40035</v>
      </c>
      <c r="C29" s="60"/>
    </row>
    <row r="30" spans="1:3" x14ac:dyDescent="0.25">
      <c r="A30" s="10" t="s">
        <v>25</v>
      </c>
      <c r="B30" s="88">
        <v>39725</v>
      </c>
      <c r="C30" s="60" t="s">
        <v>155</v>
      </c>
    </row>
    <row r="31" spans="1:3" x14ac:dyDescent="0.25">
      <c r="A31" s="53" t="s">
        <v>178</v>
      </c>
      <c r="B31" s="9">
        <v>310</v>
      </c>
      <c r="C31" s="70" t="s">
        <v>8</v>
      </c>
    </row>
    <row r="32" spans="1:3" ht="15.75" thickBot="1" x14ac:dyDescent="0.3">
      <c r="A32" s="48" t="s">
        <v>26</v>
      </c>
      <c r="B32" s="86">
        <v>110242</v>
      </c>
      <c r="C32" s="70"/>
    </row>
    <row r="33" spans="1:3" x14ac:dyDescent="0.25">
      <c r="A33" s="71" t="s">
        <v>27</v>
      </c>
      <c r="B33" s="9">
        <v>2300</v>
      </c>
      <c r="C33" s="60" t="s">
        <v>155</v>
      </c>
    </row>
    <row r="34" spans="1:3" x14ac:dyDescent="0.25">
      <c r="A34" s="53" t="s">
        <v>28</v>
      </c>
      <c r="B34" s="9">
        <v>28142</v>
      </c>
      <c r="C34" s="60" t="s">
        <v>155</v>
      </c>
    </row>
    <row r="35" spans="1:3" x14ac:dyDescent="0.25">
      <c r="A35" s="53" t="s">
        <v>29</v>
      </c>
      <c r="B35" s="9">
        <v>15000</v>
      </c>
      <c r="C35" s="60" t="s">
        <v>155</v>
      </c>
    </row>
    <row r="36" spans="1:3" x14ac:dyDescent="0.25">
      <c r="A36" s="53" t="s">
        <v>30</v>
      </c>
      <c r="B36" s="9">
        <v>100</v>
      </c>
      <c r="C36" s="69" t="s">
        <v>7</v>
      </c>
    </row>
    <row r="37" spans="1:3" x14ac:dyDescent="0.25">
      <c r="A37" s="53" t="s">
        <v>31</v>
      </c>
      <c r="B37" s="9">
        <v>27450</v>
      </c>
      <c r="C37" s="69" t="s">
        <v>155</v>
      </c>
    </row>
    <row r="38" spans="1:3" x14ac:dyDescent="0.25">
      <c r="A38" s="53" t="s">
        <v>32</v>
      </c>
      <c r="B38" s="9">
        <v>6460</v>
      </c>
      <c r="C38" s="60" t="s">
        <v>7</v>
      </c>
    </row>
    <row r="39" spans="1:3" x14ac:dyDescent="0.25">
      <c r="A39" s="53" t="s">
        <v>33</v>
      </c>
      <c r="B39" s="9">
        <v>550</v>
      </c>
      <c r="C39" s="60" t="s">
        <v>7</v>
      </c>
    </row>
    <row r="40" spans="1:3" x14ac:dyDescent="0.25">
      <c r="A40" s="53" t="s">
        <v>34</v>
      </c>
      <c r="B40" s="9">
        <v>450</v>
      </c>
      <c r="C40" s="60" t="s">
        <v>7</v>
      </c>
    </row>
    <row r="41" spans="1:3" x14ac:dyDescent="0.25">
      <c r="A41" s="53" t="s">
        <v>35</v>
      </c>
      <c r="B41" s="9">
        <v>5400</v>
      </c>
      <c r="C41" s="60" t="s">
        <v>7</v>
      </c>
    </row>
    <row r="42" spans="1:3" x14ac:dyDescent="0.25">
      <c r="A42" s="53" t="s">
        <v>36</v>
      </c>
      <c r="B42" s="9">
        <v>7200</v>
      </c>
      <c r="C42" s="60" t="s">
        <v>155</v>
      </c>
    </row>
    <row r="43" spans="1:3" x14ac:dyDescent="0.25">
      <c r="A43" s="53" t="s">
        <v>37</v>
      </c>
      <c r="B43" s="9">
        <v>5000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750</v>
      </c>
      <c r="C47" s="60" t="s">
        <v>155</v>
      </c>
    </row>
    <row r="48" spans="1:3" x14ac:dyDescent="0.25">
      <c r="A48" s="53" t="s">
        <v>42</v>
      </c>
      <c r="B48" s="9">
        <v>350</v>
      </c>
      <c r="C48" s="60" t="s">
        <v>7</v>
      </c>
    </row>
    <row r="49" spans="1:3" x14ac:dyDescent="0.25">
      <c r="A49" s="53" t="s">
        <v>43</v>
      </c>
      <c r="B49" s="9">
        <v>550</v>
      </c>
      <c r="C49" s="60" t="s">
        <v>7</v>
      </c>
    </row>
    <row r="50" spans="1:3" x14ac:dyDescent="0.25">
      <c r="A50" s="53" t="s">
        <v>44</v>
      </c>
      <c r="B50" s="9">
        <v>3800</v>
      </c>
      <c r="C50" s="60" t="s">
        <v>7</v>
      </c>
    </row>
    <row r="51" spans="1:3" x14ac:dyDescent="0.25">
      <c r="A51" s="53" t="s">
        <v>45</v>
      </c>
      <c r="B51" s="9">
        <v>1200</v>
      </c>
      <c r="C51" s="60" t="s">
        <v>7</v>
      </c>
    </row>
    <row r="52" spans="1:3" x14ac:dyDescent="0.25">
      <c r="A52" s="53" t="s">
        <v>46</v>
      </c>
      <c r="B52" s="9">
        <v>280</v>
      </c>
      <c r="C52" s="60" t="s">
        <v>8</v>
      </c>
    </row>
    <row r="53" spans="1:3" x14ac:dyDescent="0.25">
      <c r="A53" s="53" t="s">
        <v>153</v>
      </c>
      <c r="B53" s="9">
        <v>360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1376</v>
      </c>
      <c r="C57" s="70"/>
    </row>
    <row r="58" spans="1:3" x14ac:dyDescent="0.25">
      <c r="A58" s="4" t="s">
        <v>51</v>
      </c>
      <c r="B58" s="7">
        <v>0</v>
      </c>
      <c r="C58" s="60"/>
    </row>
    <row r="59" spans="1:3" x14ac:dyDescent="0.25">
      <c r="A59" s="8" t="s">
        <v>52</v>
      </c>
      <c r="B59" s="7">
        <v>100</v>
      </c>
      <c r="C59" s="60" t="s">
        <v>8</v>
      </c>
    </row>
    <row r="60" spans="1:3" x14ac:dyDescent="0.25">
      <c r="A60" s="8" t="s">
        <v>53</v>
      </c>
      <c r="B60" s="7">
        <v>600</v>
      </c>
      <c r="C60" s="60" t="s">
        <v>8</v>
      </c>
    </row>
    <row r="61" spans="1:3" x14ac:dyDescent="0.25">
      <c r="A61" s="8" t="s">
        <v>54</v>
      </c>
      <c r="B61" s="7">
        <v>50</v>
      </c>
      <c r="C61" s="60" t="s">
        <v>8</v>
      </c>
    </row>
    <row r="62" spans="1:3" x14ac:dyDescent="0.25">
      <c r="A62" s="8" t="s">
        <v>55</v>
      </c>
      <c r="B62" s="7">
        <v>100</v>
      </c>
      <c r="C62" s="60" t="s">
        <v>8</v>
      </c>
    </row>
    <row r="63" spans="1:3" x14ac:dyDescent="0.25">
      <c r="A63" s="8" t="s">
        <v>56</v>
      </c>
      <c r="B63" s="7">
        <v>100</v>
      </c>
      <c r="C63" s="60" t="s">
        <v>8</v>
      </c>
    </row>
    <row r="64" spans="1:3" x14ac:dyDescent="0.25">
      <c r="A64" s="8" t="s">
        <v>57</v>
      </c>
      <c r="B64" s="7">
        <v>100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31956</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4800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70</v>
      </c>
      <c r="C77" s="60" t="s">
        <v>8</v>
      </c>
    </row>
    <row r="78" spans="1:3" x14ac:dyDescent="0.25">
      <c r="A78" s="8" t="s">
        <v>70</v>
      </c>
      <c r="B78" s="2">
        <v>1200</v>
      </c>
      <c r="C78" s="60" t="s">
        <v>8</v>
      </c>
    </row>
    <row r="79" spans="1:3" x14ac:dyDescent="0.25">
      <c r="A79" s="8" t="s">
        <v>71</v>
      </c>
      <c r="B79" s="2">
        <v>150</v>
      </c>
      <c r="C79" s="60" t="s">
        <v>8</v>
      </c>
    </row>
    <row r="80" spans="1:3" x14ac:dyDescent="0.25">
      <c r="A80" s="8" t="s">
        <v>72</v>
      </c>
      <c r="B80" s="2">
        <v>150</v>
      </c>
      <c r="C80" s="60" t="s">
        <v>7</v>
      </c>
    </row>
    <row r="81" spans="1:3" x14ac:dyDescent="0.25">
      <c r="A81" s="8" t="s">
        <v>73</v>
      </c>
      <c r="B81" s="2">
        <v>760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1000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5700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3152</v>
      </c>
      <c r="C91" s="60" t="s">
        <v>159</v>
      </c>
    </row>
    <row r="92" spans="1:3" ht="15.75" thickBot="1" x14ac:dyDescent="0.3">
      <c r="A92" s="41" t="s">
        <v>84</v>
      </c>
      <c r="B92" s="45">
        <v>12420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2800</v>
      </c>
      <c r="C95" s="60" t="s">
        <v>8</v>
      </c>
    </row>
    <row r="96" spans="1:3" x14ac:dyDescent="0.25">
      <c r="A96" s="8" t="s">
        <v>87</v>
      </c>
      <c r="B96" s="9">
        <v>3500</v>
      </c>
      <c r="C96" s="60" t="s">
        <v>155</v>
      </c>
    </row>
    <row r="97" spans="1:3" x14ac:dyDescent="0.25">
      <c r="A97" s="8" t="s">
        <v>88</v>
      </c>
      <c r="B97" s="9">
        <v>50</v>
      </c>
      <c r="C97" s="60" t="s">
        <v>8</v>
      </c>
    </row>
    <row r="98" spans="1:3" ht="15.75" thickBot="1" x14ac:dyDescent="0.3">
      <c r="A98" s="12" t="s">
        <v>89</v>
      </c>
      <c r="B98" s="2">
        <v>5370</v>
      </c>
      <c r="C98" s="60" t="s">
        <v>208</v>
      </c>
    </row>
    <row r="99" spans="1:3" ht="15.75" thickBot="1" x14ac:dyDescent="0.3">
      <c r="A99" s="41" t="s">
        <v>90</v>
      </c>
      <c r="B99" s="45">
        <v>29020</v>
      </c>
      <c r="C99" s="60"/>
    </row>
    <row r="100" spans="1:3" x14ac:dyDescent="0.25">
      <c r="A100" s="6" t="s">
        <v>91</v>
      </c>
      <c r="B100" s="9">
        <v>200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300</v>
      </c>
      <c r="C103" s="60" t="s">
        <v>7</v>
      </c>
    </row>
    <row r="104" spans="1:3" x14ac:dyDescent="0.25">
      <c r="A104" s="8" t="s">
        <v>94</v>
      </c>
      <c r="B104" s="9">
        <v>1200</v>
      </c>
      <c r="C104" s="60" t="s">
        <v>7</v>
      </c>
    </row>
    <row r="105" spans="1:3" x14ac:dyDescent="0.25">
      <c r="A105" s="8" t="s">
        <v>95</v>
      </c>
      <c r="B105" s="9">
        <v>300</v>
      </c>
      <c r="C105" s="60" t="s">
        <v>7</v>
      </c>
    </row>
    <row r="106" spans="1:3" x14ac:dyDescent="0.25">
      <c r="A106" s="8" t="s">
        <v>96</v>
      </c>
      <c r="B106" s="9">
        <v>1760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600</v>
      </c>
      <c r="C109" s="60" t="s">
        <v>7</v>
      </c>
    </row>
    <row r="110" spans="1:3" x14ac:dyDescent="0.25">
      <c r="A110" s="8" t="s">
        <v>99</v>
      </c>
      <c r="B110" s="9">
        <v>7800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1100</v>
      </c>
      <c r="C113" s="60" t="s">
        <v>7</v>
      </c>
    </row>
    <row r="114" spans="1:3" x14ac:dyDescent="0.25">
      <c r="A114" s="8" t="s">
        <v>102</v>
      </c>
      <c r="B114" s="9">
        <v>1200</v>
      </c>
      <c r="C114" s="60" t="s">
        <v>7</v>
      </c>
    </row>
    <row r="115" spans="1:3" x14ac:dyDescent="0.25">
      <c r="A115" s="8" t="s">
        <v>103</v>
      </c>
      <c r="B115" s="9">
        <v>100</v>
      </c>
      <c r="C115" s="60" t="s">
        <v>7</v>
      </c>
    </row>
    <row r="116" spans="1:3" x14ac:dyDescent="0.25">
      <c r="A116" s="8" t="s">
        <v>104</v>
      </c>
      <c r="B116" s="9">
        <v>1050</v>
      </c>
      <c r="C116" s="60" t="s">
        <v>7</v>
      </c>
    </row>
    <row r="117" spans="1:3" x14ac:dyDescent="0.25">
      <c r="A117" s="8" t="s">
        <v>105</v>
      </c>
      <c r="B117" s="9">
        <v>100</v>
      </c>
      <c r="C117" s="60" t="s">
        <v>7</v>
      </c>
    </row>
    <row r="118" spans="1:3" x14ac:dyDescent="0.25">
      <c r="A118" s="8" t="s">
        <v>106</v>
      </c>
      <c r="B118" s="9">
        <v>1200</v>
      </c>
      <c r="C118" s="60" t="s">
        <v>7</v>
      </c>
    </row>
    <row r="119" spans="1:3" x14ac:dyDescent="0.25">
      <c r="A119" s="8" t="s">
        <v>107</v>
      </c>
      <c r="B119" s="9">
        <v>4000</v>
      </c>
      <c r="C119" s="60" t="s">
        <v>203</v>
      </c>
    </row>
    <row r="120" spans="1:3" x14ac:dyDescent="0.25">
      <c r="A120" s="23" t="s">
        <v>108</v>
      </c>
      <c r="B120" s="9">
        <v>2120</v>
      </c>
      <c r="C120" s="60" t="s">
        <v>7</v>
      </c>
    </row>
    <row r="121" spans="1:3" x14ac:dyDescent="0.25">
      <c r="A121" s="8" t="s">
        <v>109</v>
      </c>
      <c r="B121" s="9">
        <v>900</v>
      </c>
      <c r="C121" s="60" t="s">
        <v>7</v>
      </c>
    </row>
    <row r="122" spans="1:3" x14ac:dyDescent="0.25">
      <c r="A122" s="8" t="s">
        <v>110</v>
      </c>
      <c r="B122" s="9">
        <v>1400</v>
      </c>
      <c r="C122" s="60" t="s">
        <v>8</v>
      </c>
    </row>
    <row r="123" spans="1:3" ht="15.75" thickBot="1" x14ac:dyDescent="0.3">
      <c r="A123" s="12" t="s">
        <v>111</v>
      </c>
      <c r="B123" s="9">
        <v>900</v>
      </c>
      <c r="C123" s="60" t="s">
        <v>7</v>
      </c>
    </row>
    <row r="124" spans="1:3" ht="15.75" thickBot="1" x14ac:dyDescent="0.3">
      <c r="A124" s="41" t="s">
        <v>112</v>
      </c>
      <c r="B124" s="45">
        <v>194505</v>
      </c>
      <c r="C124" s="60"/>
    </row>
    <row r="125" spans="1:3" x14ac:dyDescent="0.25">
      <c r="A125" s="6" t="s">
        <v>113</v>
      </c>
      <c r="B125" s="9">
        <v>6850</v>
      </c>
      <c r="C125" s="60" t="s">
        <v>155</v>
      </c>
    </row>
    <row r="126" spans="1:3" x14ac:dyDescent="0.25">
      <c r="A126" s="8" t="s">
        <v>114</v>
      </c>
      <c r="B126" s="9">
        <v>350</v>
      </c>
      <c r="C126" s="60" t="s">
        <v>7</v>
      </c>
    </row>
    <row r="127" spans="1:3" x14ac:dyDescent="0.25">
      <c r="A127" s="8" t="s">
        <v>162</v>
      </c>
      <c r="B127" s="9">
        <v>100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11037</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33300</v>
      </c>
      <c r="C135" s="60" t="s">
        <v>155</v>
      </c>
    </row>
    <row r="136" spans="1:3" x14ac:dyDescent="0.25">
      <c r="A136" s="8" t="s">
        <v>122</v>
      </c>
      <c r="B136" s="9">
        <v>62140</v>
      </c>
      <c r="C136" s="60" t="s">
        <v>155</v>
      </c>
    </row>
    <row r="137" spans="1:3" x14ac:dyDescent="0.25">
      <c r="A137" s="8" t="s">
        <v>158</v>
      </c>
      <c r="B137" s="9">
        <v>65777</v>
      </c>
      <c r="C137" s="60" t="s">
        <v>7</v>
      </c>
    </row>
    <row r="138" spans="1:3" x14ac:dyDescent="0.25">
      <c r="A138" s="8" t="s">
        <v>123</v>
      </c>
      <c r="B138" s="9">
        <v>2464</v>
      </c>
      <c r="C138" s="60" t="s">
        <v>155</v>
      </c>
    </row>
    <row r="139" spans="1:3" x14ac:dyDescent="0.25">
      <c r="A139" s="8" t="s">
        <v>124</v>
      </c>
      <c r="B139" s="9">
        <v>3100</v>
      </c>
      <c r="C139" s="60" t="s">
        <v>7</v>
      </c>
    </row>
    <row r="140" spans="1:3" x14ac:dyDescent="0.25">
      <c r="A140" s="8" t="s">
        <v>125</v>
      </c>
      <c r="B140" s="9">
        <v>1200</v>
      </c>
      <c r="C140" s="60" t="s">
        <v>7</v>
      </c>
    </row>
    <row r="141" spans="1:3" x14ac:dyDescent="0.25">
      <c r="A141" s="8" t="s">
        <v>164</v>
      </c>
      <c r="B141" s="9">
        <v>128</v>
      </c>
      <c r="C141" s="60" t="s">
        <v>7</v>
      </c>
    </row>
    <row r="142" spans="1:3" x14ac:dyDescent="0.25">
      <c r="A142" s="8" t="s">
        <v>126</v>
      </c>
      <c r="B142" s="9">
        <v>1700</v>
      </c>
      <c r="C142" s="60" t="s">
        <v>155</v>
      </c>
    </row>
    <row r="143" spans="1:3" x14ac:dyDescent="0.25">
      <c r="A143" s="8" t="s">
        <v>127</v>
      </c>
      <c r="B143" s="9">
        <v>1600</v>
      </c>
      <c r="C143" s="60" t="s">
        <v>7</v>
      </c>
    </row>
    <row r="144" spans="1:3" x14ac:dyDescent="0.25">
      <c r="A144" s="8" t="s">
        <v>128</v>
      </c>
      <c r="B144" s="9">
        <v>400</v>
      </c>
      <c r="C144" s="60" t="s">
        <v>155</v>
      </c>
    </row>
    <row r="145" spans="1:3" ht="15.75" thickBot="1" x14ac:dyDescent="0.3">
      <c r="A145" s="17" t="s">
        <v>129</v>
      </c>
      <c r="B145" s="9">
        <v>839</v>
      </c>
      <c r="C145" s="60" t="s">
        <v>159</v>
      </c>
    </row>
    <row r="146" spans="1:3" ht="15.75" thickBot="1" x14ac:dyDescent="0.3">
      <c r="A146" s="47" t="s">
        <v>152</v>
      </c>
      <c r="B146" s="72">
        <v>1985</v>
      </c>
      <c r="C146" s="60" t="s">
        <v>8</v>
      </c>
    </row>
    <row r="147" spans="1:3" ht="15.75" thickBot="1" x14ac:dyDescent="0.3">
      <c r="A147" s="48" t="s">
        <v>130</v>
      </c>
      <c r="B147" s="72">
        <v>3700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800</v>
      </c>
      <c r="C154" s="60" t="s">
        <v>8</v>
      </c>
    </row>
    <row r="155" spans="1:3" ht="16.5" thickBot="1" x14ac:dyDescent="0.3">
      <c r="A155" s="29" t="s">
        <v>136</v>
      </c>
      <c r="B155" s="30">
        <v>2820395</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35127</v>
      </c>
      <c r="C163" s="60" t="s">
        <v>159</v>
      </c>
    </row>
    <row r="164" spans="1:3" x14ac:dyDescent="0.25">
      <c r="A164" s="21" t="s">
        <v>142</v>
      </c>
      <c r="B164" s="2">
        <v>2449</v>
      </c>
      <c r="C164" s="60" t="s">
        <v>204</v>
      </c>
    </row>
    <row r="165" spans="1:3" x14ac:dyDescent="0.25">
      <c r="A165" s="21" t="s">
        <v>176</v>
      </c>
      <c r="B165" s="2">
        <v>35</v>
      </c>
      <c r="C165" s="60" t="s">
        <v>8</v>
      </c>
    </row>
    <row r="166" spans="1:3" x14ac:dyDescent="0.25">
      <c r="A166" s="19" t="s">
        <v>143</v>
      </c>
      <c r="B166" s="2">
        <v>600</v>
      </c>
      <c r="C166" s="60" t="s">
        <v>8</v>
      </c>
    </row>
    <row r="167" spans="1:3" x14ac:dyDescent="0.25">
      <c r="A167" s="22" t="s">
        <v>144</v>
      </c>
      <c r="B167" s="2">
        <v>22700</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90992</v>
      </c>
      <c r="C171" s="61"/>
    </row>
    <row r="172" spans="1:3" ht="16.5" thickBot="1" x14ac:dyDescent="0.3">
      <c r="A172" s="34" t="s">
        <v>148</v>
      </c>
      <c r="B172" s="35">
        <v>2911387</v>
      </c>
      <c r="C172" s="62"/>
    </row>
    <row r="173" spans="1:3" x14ac:dyDescent="0.25">
      <c r="B173" s="147" t="s">
        <v>179</v>
      </c>
      <c r="C173" s="147"/>
    </row>
    <row r="174" spans="1:3" x14ac:dyDescent="0.25">
      <c r="B174" s="147" t="s">
        <v>181</v>
      </c>
      <c r="C174" s="147"/>
    </row>
    <row r="175" spans="1:3" x14ac:dyDescent="0.25">
      <c r="B175" s="147"/>
      <c r="C175" s="147"/>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opLeftCell="B166" zoomScale="120" zoomScaleNormal="120" workbookViewId="0">
      <selection activeCell="B173" sqref="B173:H173"/>
    </sheetView>
  </sheetViews>
  <sheetFormatPr defaultRowHeight="15" x14ac:dyDescent="0.2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44" t="s">
        <v>0</v>
      </c>
      <c r="C2" s="144"/>
      <c r="D2" s="144"/>
      <c r="E2" s="144"/>
      <c r="F2" s="144"/>
      <c r="G2" s="144"/>
      <c r="H2" s="144"/>
    </row>
    <row r="3" spans="2:11" x14ac:dyDescent="0.25">
      <c r="B3" s="145" t="s">
        <v>215</v>
      </c>
      <c r="C3" s="145"/>
      <c r="D3" s="145"/>
      <c r="E3" s="145"/>
      <c r="F3" s="145"/>
      <c r="G3" s="145"/>
      <c r="H3" s="145"/>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75">
        <f>2155096+335323+29000+C22+C29+70000+2965+13592+3162</f>
        <v>2694462</v>
      </c>
      <c r="D7" s="109"/>
      <c r="E7" s="7"/>
      <c r="F7" s="64"/>
      <c r="G7" s="64"/>
      <c r="H7" s="2">
        <f>SUM(C7:G7)</f>
        <v>2694462</v>
      </c>
    </row>
    <row r="8" spans="2:11" x14ac:dyDescent="0.25">
      <c r="B8" s="8" t="s">
        <v>10</v>
      </c>
      <c r="C8" s="73">
        <f>28311+2392</f>
        <v>30703</v>
      </c>
      <c r="D8" s="73"/>
      <c r="E8" s="9"/>
      <c r="F8" s="64"/>
      <c r="G8" s="64"/>
      <c r="H8" s="2">
        <f t="shared" ref="H8:H13" si="0">SUM(C8:G8)</f>
        <v>30703</v>
      </c>
    </row>
    <row r="9" spans="2:11" x14ac:dyDescent="0.25">
      <c r="B9" s="8" t="s">
        <v>195</v>
      </c>
      <c r="C9" s="9"/>
      <c r="D9" s="9"/>
      <c r="E9" s="9">
        <f>54750+2000+2500+530+750+670-3000-930-1070+550+1775+2000+6860</f>
        <v>67385</v>
      </c>
      <c r="F9" s="64"/>
      <c r="G9" s="64"/>
      <c r="H9" s="2">
        <f t="shared" si="0"/>
        <v>67385</v>
      </c>
    </row>
    <row r="10" spans="2:11" x14ac:dyDescent="0.25">
      <c r="B10" s="8" t="s">
        <v>169</v>
      </c>
      <c r="C10" s="9">
        <f>2527</f>
        <v>2527</v>
      </c>
      <c r="D10" s="9"/>
      <c r="E10" s="9">
        <f>4500+3000+250+900</f>
        <v>8650</v>
      </c>
      <c r="F10" s="64"/>
      <c r="G10" s="64"/>
      <c r="H10" s="2">
        <f t="shared" si="0"/>
        <v>11177</v>
      </c>
    </row>
    <row r="11" spans="2:11" x14ac:dyDescent="0.25">
      <c r="B11" s="8" t="s">
        <v>170</v>
      </c>
      <c r="C11" s="9"/>
      <c r="D11" s="102">
        <f>80011+700+8323+4000</f>
        <v>93034</v>
      </c>
      <c r="E11" s="9"/>
      <c r="F11" s="64">
        <f>729+4000+1870</f>
        <v>6599</v>
      </c>
      <c r="G11" s="64"/>
      <c r="H11" s="2">
        <f>SUM(C11:G11)</f>
        <v>99633</v>
      </c>
    </row>
    <row r="12" spans="2:11" x14ac:dyDescent="0.25">
      <c r="B12" s="8" t="s">
        <v>196</v>
      </c>
      <c r="C12" s="9"/>
      <c r="D12" s="9"/>
      <c r="E12" s="9"/>
      <c r="F12" s="64">
        <f>500+181</f>
        <v>681</v>
      </c>
      <c r="G12" s="64"/>
      <c r="H12" s="2">
        <f t="shared" si="0"/>
        <v>681</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2730303</v>
      </c>
      <c r="D15" s="30">
        <f>SUM(D7:D14)</f>
        <v>93034</v>
      </c>
      <c r="E15" s="30">
        <f>SUM(E7:E14)</f>
        <v>81685</v>
      </c>
      <c r="F15" s="30">
        <f t="shared" ref="F15:G15" si="1">SUM(F7:F14)</f>
        <v>7280</v>
      </c>
      <c r="G15" s="30">
        <f t="shared" si="1"/>
        <v>3085</v>
      </c>
      <c r="H15" s="30">
        <f>SUM(H7:H14)</f>
        <v>2915387</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45">
        <f>80+5678</f>
        <v>5758</v>
      </c>
      <c r="E19" s="45">
        <f>22550-550+3000</f>
        <v>25000</v>
      </c>
      <c r="F19" s="45">
        <v>181</v>
      </c>
      <c r="G19" s="45">
        <v>288</v>
      </c>
      <c r="H19" s="45">
        <f>SUM(C19:G19)</f>
        <v>2284333</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45">
        <f>1800+100</f>
        <v>1900</v>
      </c>
      <c r="F21" s="45"/>
      <c r="G21" s="45"/>
      <c r="H21" s="45">
        <f t="shared" si="2"/>
        <v>1900</v>
      </c>
    </row>
    <row r="22" spans="2:10" ht="15.75" thickBot="1" x14ac:dyDescent="0.3">
      <c r="B22" s="41" t="s">
        <v>19</v>
      </c>
      <c r="C22" s="42">
        <f>+C24+C25+C26+C27+C28+C23</f>
        <v>45824</v>
      </c>
      <c r="D22" s="42"/>
      <c r="E22" s="42">
        <f t="shared" ref="E22:G22" si="3">+E24+E25+E26+E27+E28</f>
        <v>2100</v>
      </c>
      <c r="F22" s="42"/>
      <c r="G22" s="42">
        <f t="shared" si="3"/>
        <v>0</v>
      </c>
      <c r="H22" s="42">
        <f>+H23+H24+H25+H26+H27+H28</f>
        <v>47924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
        <f>750+150+500+1200</f>
        <v>2600</v>
      </c>
      <c r="D27" s="1"/>
      <c r="E27" s="1">
        <v>100</v>
      </c>
      <c r="F27" s="1"/>
      <c r="G27" s="9"/>
      <c r="H27" s="7">
        <f t="shared" si="4"/>
        <v>2700</v>
      </c>
    </row>
    <row r="28" spans="2:10" ht="15.75" thickBot="1" x14ac:dyDescent="0.3">
      <c r="B28" s="8" t="s">
        <v>167</v>
      </c>
      <c r="C28" s="74">
        <f>5600+17774-104+2000</f>
        <v>25270</v>
      </c>
      <c r="D28" s="74"/>
      <c r="E28" s="74">
        <v>900</v>
      </c>
      <c r="F28" s="90"/>
      <c r="G28" s="13"/>
      <c r="H28" s="7">
        <f t="shared" si="4"/>
        <v>26170</v>
      </c>
    </row>
    <row r="29" spans="2:10" ht="15.75" thickBot="1" x14ac:dyDescent="0.3">
      <c r="B29" s="41" t="s">
        <v>24</v>
      </c>
      <c r="C29" s="45">
        <f t="shared" ref="C29" si="5">+C30</f>
        <v>39500</v>
      </c>
      <c r="D29" s="45"/>
      <c r="E29" s="45">
        <f>+E30+E31</f>
        <v>535</v>
      </c>
      <c r="F29" s="101"/>
      <c r="G29" s="87"/>
      <c r="H29" s="45">
        <f>H30+H31</f>
        <v>40035</v>
      </c>
    </row>
    <row r="30" spans="2:10" x14ac:dyDescent="0.25">
      <c r="B30" s="10" t="s">
        <v>25</v>
      </c>
      <c r="C30" s="13">
        <f>29500+10000</f>
        <v>39500</v>
      </c>
      <c r="D30" s="37"/>
      <c r="E30" s="98">
        <f>200+25</f>
        <v>225</v>
      </c>
      <c r="F30" s="37"/>
      <c r="G30" s="9"/>
      <c r="H30" s="88">
        <f>SUM(C30:E30)</f>
        <v>39725</v>
      </c>
    </row>
    <row r="31" spans="2:10" x14ac:dyDescent="0.25">
      <c r="B31" s="53" t="s">
        <v>178</v>
      </c>
      <c r="C31" s="9"/>
      <c r="D31" s="9"/>
      <c r="E31" s="9">
        <v>310</v>
      </c>
      <c r="F31" s="9"/>
      <c r="G31" s="9"/>
      <c r="H31" s="9">
        <f>SUM(C31:E31)</f>
        <v>310</v>
      </c>
    </row>
    <row r="32" spans="2:10" ht="15.75" thickBot="1" x14ac:dyDescent="0.3">
      <c r="B32" s="48" t="s">
        <v>26</v>
      </c>
      <c r="C32" s="86">
        <f>SUM(C33:C56)</f>
        <v>98682</v>
      </c>
      <c r="D32" s="86"/>
      <c r="E32" s="86">
        <f t="shared" ref="E32" si="6">SUM(E33:E56)</f>
        <v>11560</v>
      </c>
      <c r="F32" s="86"/>
      <c r="G32" s="86"/>
      <c r="H32" s="86">
        <f>SUM(H33:H56)</f>
        <v>110242</v>
      </c>
    </row>
    <row r="33" spans="2:11" x14ac:dyDescent="0.25">
      <c r="B33" s="53" t="s">
        <v>27</v>
      </c>
      <c r="C33" s="9">
        <v>2000</v>
      </c>
      <c r="D33" s="9"/>
      <c r="E33" s="9">
        <f>200+100</f>
        <v>300</v>
      </c>
      <c r="F33" s="9"/>
      <c r="G33" s="9"/>
      <c r="H33" s="9">
        <f>SUM(C33:G33)</f>
        <v>2300</v>
      </c>
    </row>
    <row r="34" spans="2:11" x14ac:dyDescent="0.25">
      <c r="B34" s="53" t="s">
        <v>28</v>
      </c>
      <c r="C34" s="73">
        <f>27392</f>
        <v>27392</v>
      </c>
      <c r="D34" s="73"/>
      <c r="E34" s="73">
        <f>500+250</f>
        <v>750</v>
      </c>
      <c r="F34" s="66"/>
      <c r="G34" s="9"/>
      <c r="H34" s="9">
        <f t="shared" ref="H34:H56" si="7">SUM(C34:G34)</f>
        <v>28142</v>
      </c>
    </row>
    <row r="35" spans="2:11" x14ac:dyDescent="0.25">
      <c r="B35" s="53" t="s">
        <v>29</v>
      </c>
      <c r="C35" s="73">
        <f>11000+1500+1000</f>
        <v>13500</v>
      </c>
      <c r="D35" s="73"/>
      <c r="E35" s="73">
        <f>100+1400</f>
        <v>1500</v>
      </c>
      <c r="F35" s="66"/>
      <c r="G35" s="9"/>
      <c r="H35" s="9">
        <f t="shared" si="7"/>
        <v>15000</v>
      </c>
    </row>
    <row r="36" spans="2:11" x14ac:dyDescent="0.25">
      <c r="B36" s="53" t="s">
        <v>30</v>
      </c>
      <c r="C36" s="73">
        <v>100</v>
      </c>
      <c r="D36" s="73"/>
      <c r="E36" s="9"/>
      <c r="F36" s="9"/>
      <c r="G36" s="9"/>
      <c r="H36" s="9">
        <f t="shared" si="7"/>
        <v>100</v>
      </c>
    </row>
    <row r="37" spans="2:11" x14ac:dyDescent="0.25">
      <c r="B37" s="53" t="s">
        <v>31</v>
      </c>
      <c r="C37" s="73">
        <f>21000+2000</f>
        <v>23000</v>
      </c>
      <c r="D37" s="73"/>
      <c r="E37" s="66">
        <f>2500+1600+350</f>
        <v>4450</v>
      </c>
      <c r="F37" s="66"/>
      <c r="G37" s="9"/>
      <c r="H37" s="9">
        <f t="shared" si="7"/>
        <v>27450</v>
      </c>
    </row>
    <row r="38" spans="2:11" x14ac:dyDescent="0.25">
      <c r="B38" s="53" t="s">
        <v>32</v>
      </c>
      <c r="C38" s="73">
        <f>6540-200</f>
        <v>6340</v>
      </c>
      <c r="D38" s="73"/>
      <c r="E38" s="73">
        <v>120</v>
      </c>
      <c r="F38" s="9"/>
      <c r="G38" s="9"/>
      <c r="H38" s="9">
        <f t="shared" si="7"/>
        <v>6460</v>
      </c>
      <c r="K38" s="56"/>
    </row>
    <row r="39" spans="2:11" x14ac:dyDescent="0.25">
      <c r="B39" s="53" t="s">
        <v>33</v>
      </c>
      <c r="C39" s="9">
        <f>500-50+100</f>
        <v>550</v>
      </c>
      <c r="D39" s="9"/>
      <c r="E39" s="9"/>
      <c r="F39" s="9"/>
      <c r="G39" s="9"/>
      <c r="H39" s="9">
        <f t="shared" si="7"/>
        <v>550</v>
      </c>
    </row>
    <row r="40" spans="2:11" x14ac:dyDescent="0.25">
      <c r="B40" s="53" t="s">
        <v>34</v>
      </c>
      <c r="C40" s="9">
        <f>550-50-50</f>
        <v>450</v>
      </c>
      <c r="D40" s="9"/>
      <c r="E40" s="9"/>
      <c r="F40" s="9"/>
      <c r="G40" s="9"/>
      <c r="H40" s="9">
        <f t="shared" si="7"/>
        <v>450</v>
      </c>
    </row>
    <row r="41" spans="2:11" x14ac:dyDescent="0.25">
      <c r="B41" s="53" t="s">
        <v>35</v>
      </c>
      <c r="C41" s="9">
        <f>6000-800+200</f>
        <v>5400</v>
      </c>
      <c r="D41" s="9"/>
      <c r="E41" s="9"/>
      <c r="F41" s="9"/>
      <c r="G41" s="9"/>
      <c r="H41" s="9">
        <f t="shared" si="7"/>
        <v>5400</v>
      </c>
    </row>
    <row r="42" spans="2:11" x14ac:dyDescent="0.25">
      <c r="B42" s="53" t="s">
        <v>36</v>
      </c>
      <c r="C42" s="9">
        <f>3600+550</f>
        <v>4150</v>
      </c>
      <c r="D42" s="9"/>
      <c r="E42" s="73">
        <f>3600-550</f>
        <v>3050</v>
      </c>
      <c r="F42" s="9"/>
      <c r="G42" s="9"/>
      <c r="H42" s="9">
        <f t="shared" si="7"/>
        <v>7200</v>
      </c>
    </row>
    <row r="43" spans="2:11" x14ac:dyDescent="0.25">
      <c r="B43" s="53" t="s">
        <v>37</v>
      </c>
      <c r="C43" s="9">
        <f>6600-1000-600</f>
        <v>5000</v>
      </c>
      <c r="D43" s="9"/>
      <c r="E43" s="9"/>
      <c r="F43" s="9"/>
      <c r="G43" s="9"/>
      <c r="H43" s="9">
        <f t="shared" si="7"/>
        <v>5000</v>
      </c>
    </row>
    <row r="44" spans="2:11" x14ac:dyDescent="0.25">
      <c r="B44" s="53" t="s">
        <v>38</v>
      </c>
      <c r="C44" s="9">
        <f>2700</f>
        <v>2700</v>
      </c>
      <c r="D44" s="9"/>
      <c r="E44" s="9"/>
      <c r="F44" s="9"/>
      <c r="G44" s="9"/>
      <c r="H44" s="9">
        <f t="shared" si="7"/>
        <v>2700</v>
      </c>
    </row>
    <row r="45" spans="2:11" x14ac:dyDescent="0.25">
      <c r="B45" s="53" t="s">
        <v>39</v>
      </c>
      <c r="C45" s="9">
        <v>1500</v>
      </c>
      <c r="D45" s="9"/>
      <c r="E45" s="9"/>
      <c r="F45" s="9"/>
      <c r="G45" s="9"/>
      <c r="H45" s="9">
        <f t="shared" si="7"/>
        <v>1500</v>
      </c>
    </row>
    <row r="46" spans="2:11" x14ac:dyDescent="0.25">
      <c r="B46" s="53" t="s">
        <v>40</v>
      </c>
      <c r="C46" s="9"/>
      <c r="D46" s="9"/>
      <c r="E46" s="9"/>
      <c r="F46" s="9"/>
      <c r="G46" s="9"/>
      <c r="H46" s="9">
        <f t="shared" si="7"/>
        <v>0</v>
      </c>
    </row>
    <row r="47" spans="2:11" x14ac:dyDescent="0.25">
      <c r="B47" s="53" t="s">
        <v>41</v>
      </c>
      <c r="C47" s="9">
        <f>600+100</f>
        <v>700</v>
      </c>
      <c r="D47" s="9"/>
      <c r="E47" s="9">
        <v>50</v>
      </c>
      <c r="F47" s="9"/>
      <c r="G47" s="9"/>
      <c r="H47" s="9">
        <f t="shared" si="7"/>
        <v>750</v>
      </c>
    </row>
    <row r="48" spans="2:11" x14ac:dyDescent="0.25">
      <c r="B48" s="53" t="s">
        <v>42</v>
      </c>
      <c r="C48" s="9">
        <v>350</v>
      </c>
      <c r="D48" s="9"/>
      <c r="E48" s="9"/>
      <c r="F48" s="9"/>
      <c r="G48" s="9"/>
      <c r="H48" s="9">
        <f t="shared" si="7"/>
        <v>350</v>
      </c>
    </row>
    <row r="49" spans="2:8" x14ac:dyDescent="0.25">
      <c r="B49" s="53" t="s">
        <v>43</v>
      </c>
      <c r="C49" s="9">
        <v>550</v>
      </c>
      <c r="D49" s="9"/>
      <c r="E49" s="9"/>
      <c r="F49" s="9"/>
      <c r="G49" s="9"/>
      <c r="H49" s="9">
        <f t="shared" si="7"/>
        <v>550</v>
      </c>
    </row>
    <row r="50" spans="2:8" x14ac:dyDescent="0.25">
      <c r="B50" s="53" t="s">
        <v>44</v>
      </c>
      <c r="C50" s="9">
        <v>3800</v>
      </c>
      <c r="D50" s="9"/>
      <c r="E50" s="9"/>
      <c r="F50" s="9"/>
      <c r="G50" s="9"/>
      <c r="H50" s="9">
        <f t="shared" si="7"/>
        <v>3800</v>
      </c>
    </row>
    <row r="51" spans="2:8" x14ac:dyDescent="0.25">
      <c r="B51" s="53" t="s">
        <v>45</v>
      </c>
      <c r="C51" s="9">
        <v>1200</v>
      </c>
      <c r="D51" s="9"/>
      <c r="E51" s="9"/>
      <c r="F51" s="9"/>
      <c r="G51" s="9"/>
      <c r="H51" s="9">
        <f t="shared" si="7"/>
        <v>1200</v>
      </c>
    </row>
    <row r="52" spans="2:8" x14ac:dyDescent="0.25">
      <c r="B52" s="53" t="s">
        <v>46</v>
      </c>
      <c r="C52" s="9"/>
      <c r="D52" s="9"/>
      <c r="E52" s="9">
        <v>280</v>
      </c>
      <c r="F52" s="9"/>
      <c r="G52" s="9"/>
      <c r="H52" s="9">
        <f t="shared" si="7"/>
        <v>280</v>
      </c>
    </row>
    <row r="53" spans="2:8" x14ac:dyDescent="0.25">
      <c r="B53" s="53" t="s">
        <v>153</v>
      </c>
      <c r="C53" s="9"/>
      <c r="D53" s="9"/>
      <c r="E53" s="9">
        <f>110+30+220</f>
        <v>360</v>
      </c>
      <c r="F53" s="9"/>
      <c r="G53" s="9"/>
      <c r="H53" s="9">
        <f t="shared" si="7"/>
        <v>360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1376</v>
      </c>
      <c r="F57" s="42"/>
      <c r="G57" s="42"/>
      <c r="H57" s="44">
        <f>SUM(H58:H66)</f>
        <v>1376</v>
      </c>
    </row>
    <row r="58" spans="2:8" x14ac:dyDescent="0.25">
      <c r="B58" s="4" t="s">
        <v>51</v>
      </c>
      <c r="C58" s="7"/>
      <c r="D58" s="7"/>
      <c r="E58" s="7">
        <v>0</v>
      </c>
      <c r="F58" s="7"/>
      <c r="G58" s="7"/>
      <c r="H58" s="7">
        <f>SUM(C58:G58)</f>
        <v>0</v>
      </c>
    </row>
    <row r="59" spans="2:8" x14ac:dyDescent="0.25">
      <c r="B59" s="8" t="s">
        <v>52</v>
      </c>
      <c r="C59" s="9"/>
      <c r="D59" s="9"/>
      <c r="E59" s="9">
        <v>100</v>
      </c>
      <c r="F59" s="9"/>
      <c r="G59" s="9"/>
      <c r="H59" s="7">
        <f t="shared" ref="H59:H66" si="9">SUM(C59:G59)</f>
        <v>100</v>
      </c>
    </row>
    <row r="60" spans="2:8" x14ac:dyDescent="0.25">
      <c r="B60" s="8" t="s">
        <v>53</v>
      </c>
      <c r="C60" s="9"/>
      <c r="D60" s="9"/>
      <c r="E60" s="9">
        <v>600</v>
      </c>
      <c r="F60" s="9"/>
      <c r="G60" s="9"/>
      <c r="H60" s="7">
        <f t="shared" si="9"/>
        <v>600</v>
      </c>
    </row>
    <row r="61" spans="2:8" x14ac:dyDescent="0.25">
      <c r="B61" s="8" t="s">
        <v>54</v>
      </c>
      <c r="C61" s="9"/>
      <c r="D61" s="9"/>
      <c r="E61" s="9">
        <v>50</v>
      </c>
      <c r="F61" s="9"/>
      <c r="G61" s="9"/>
      <c r="H61" s="7">
        <f t="shared" si="9"/>
        <v>50</v>
      </c>
    </row>
    <row r="62" spans="2:8" x14ac:dyDescent="0.25">
      <c r="B62" s="8" t="s">
        <v>55</v>
      </c>
      <c r="C62" s="9"/>
      <c r="D62" s="9"/>
      <c r="E62" s="9">
        <v>100</v>
      </c>
      <c r="F62" s="9"/>
      <c r="G62" s="9"/>
      <c r="H62" s="7">
        <f t="shared" si="9"/>
        <v>100</v>
      </c>
    </row>
    <row r="63" spans="2:8" x14ac:dyDescent="0.25">
      <c r="B63" s="8" t="s">
        <v>56</v>
      </c>
      <c r="C63" s="9"/>
      <c r="D63" s="9"/>
      <c r="E63" s="9">
        <v>100</v>
      </c>
      <c r="F63" s="9"/>
      <c r="G63" s="9"/>
      <c r="H63" s="7">
        <f t="shared" si="9"/>
        <v>100</v>
      </c>
    </row>
    <row r="64" spans="2:8" x14ac:dyDescent="0.25">
      <c r="B64" s="8" t="s">
        <v>57</v>
      </c>
      <c r="C64" s="9"/>
      <c r="D64" s="9"/>
      <c r="E64" s="9">
        <v>100</v>
      </c>
      <c r="F64" s="9"/>
      <c r="G64" s="9"/>
      <c r="H64" s="7">
        <f t="shared" si="9"/>
        <v>100</v>
      </c>
    </row>
    <row r="65" spans="2:8" x14ac:dyDescent="0.25">
      <c r="B65" s="8" t="s">
        <v>58</v>
      </c>
      <c r="C65" s="9"/>
      <c r="D65" s="9"/>
      <c r="E65" s="9">
        <v>50</v>
      </c>
      <c r="F65" s="9"/>
      <c r="G65" s="9"/>
      <c r="H65" s="7">
        <f t="shared" si="9"/>
        <v>50</v>
      </c>
    </row>
    <row r="66" spans="2:8" ht="15.75" thickBot="1" x14ac:dyDescent="0.3">
      <c r="B66" s="12" t="s">
        <v>59</v>
      </c>
      <c r="C66" s="1"/>
      <c r="D66" s="1"/>
      <c r="E66" s="1">
        <f>76+200</f>
        <v>276</v>
      </c>
      <c r="F66" s="1"/>
      <c r="G66" s="1"/>
      <c r="H66" s="7">
        <f t="shared" si="9"/>
        <v>276</v>
      </c>
    </row>
    <row r="67" spans="2:8" ht="15.75" thickBot="1" x14ac:dyDescent="0.3">
      <c r="B67" s="41" t="s">
        <v>60</v>
      </c>
      <c r="C67" s="42">
        <f>SUM(C68:C91)</f>
        <v>18450</v>
      </c>
      <c r="D67" s="42">
        <f>SUM(D68:D91)</f>
        <v>2662</v>
      </c>
      <c r="E67" s="42">
        <f>SUM(E68:E91)</f>
        <v>10844</v>
      </c>
      <c r="F67" s="42"/>
      <c r="G67" s="42"/>
      <c r="H67" s="44">
        <f>SUM(H68:H91)</f>
        <v>31956</v>
      </c>
    </row>
    <row r="68" spans="2:8" x14ac:dyDescent="0.25">
      <c r="B68" s="14" t="s">
        <v>165</v>
      </c>
      <c r="C68" s="7"/>
      <c r="D68" s="7"/>
      <c r="E68" s="7">
        <v>300</v>
      </c>
      <c r="F68" s="64"/>
      <c r="G68" s="64"/>
      <c r="H68" s="2">
        <f t="shared" ref="H68:H91" si="10">SUM(C68:G68)</f>
        <v>300</v>
      </c>
    </row>
    <row r="69" spans="2:8" x14ac:dyDescent="0.25">
      <c r="B69" s="14" t="s">
        <v>61</v>
      </c>
      <c r="C69" s="7"/>
      <c r="D69" s="7"/>
      <c r="E69" s="7">
        <f>300+250+50</f>
        <v>600</v>
      </c>
      <c r="F69" s="64"/>
      <c r="G69" s="64"/>
      <c r="H69" s="2">
        <f t="shared" si="10"/>
        <v>600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73">
        <f>7500-2700</f>
        <v>4800</v>
      </c>
      <c r="D72" s="73"/>
      <c r="E72" s="9"/>
      <c r="F72" s="64"/>
      <c r="G72" s="64"/>
      <c r="H72" s="2">
        <f t="shared" si="10"/>
        <v>4800</v>
      </c>
    </row>
    <row r="73" spans="2:8" x14ac:dyDescent="0.25">
      <c r="B73" s="8" t="s">
        <v>65</v>
      </c>
      <c r="C73" s="9"/>
      <c r="D73" s="9"/>
      <c r="E73" s="66">
        <f>200+100+150</f>
        <v>450</v>
      </c>
      <c r="F73" s="96"/>
      <c r="G73" s="64"/>
      <c r="H73" s="2">
        <f t="shared" si="10"/>
        <v>450</v>
      </c>
    </row>
    <row r="74" spans="2:8" x14ac:dyDescent="0.25">
      <c r="B74" s="8" t="s">
        <v>66</v>
      </c>
      <c r="C74" s="9">
        <f>4800-500</f>
        <v>4300</v>
      </c>
      <c r="D74" s="9"/>
      <c r="E74" s="73">
        <f>450+250+550+700</f>
        <v>1950</v>
      </c>
      <c r="F74" s="97"/>
      <c r="G74" s="64"/>
      <c r="H74" s="2">
        <f t="shared" si="10"/>
        <v>6250</v>
      </c>
    </row>
    <row r="75" spans="2:8" x14ac:dyDescent="0.25">
      <c r="B75" s="8" t="s">
        <v>67</v>
      </c>
      <c r="C75" s="9"/>
      <c r="D75" s="9"/>
      <c r="E75" s="9">
        <f>400-150-50</f>
        <v>200</v>
      </c>
      <c r="F75" s="64"/>
      <c r="G75" s="64"/>
      <c r="H75" s="2">
        <f t="shared" si="10"/>
        <v>200</v>
      </c>
    </row>
    <row r="76" spans="2:8" x14ac:dyDescent="0.25">
      <c r="B76" s="8" t="s">
        <v>68</v>
      </c>
      <c r="C76" s="9"/>
      <c r="D76" s="9"/>
      <c r="E76" s="9">
        <f>100-100</f>
        <v>0</v>
      </c>
      <c r="F76" s="64"/>
      <c r="G76" s="64"/>
      <c r="H76" s="2">
        <f t="shared" si="10"/>
        <v>0</v>
      </c>
    </row>
    <row r="77" spans="2:8" x14ac:dyDescent="0.25">
      <c r="B77" s="8" t="s">
        <v>69</v>
      </c>
      <c r="C77" s="9"/>
      <c r="D77" s="9"/>
      <c r="E77" s="9">
        <v>70</v>
      </c>
      <c r="F77" s="64"/>
      <c r="G77" s="64"/>
      <c r="H77" s="2">
        <f t="shared" si="10"/>
        <v>70</v>
      </c>
    </row>
    <row r="78" spans="2:8" x14ac:dyDescent="0.25">
      <c r="B78" s="8" t="s">
        <v>70</v>
      </c>
      <c r="C78" s="9"/>
      <c r="D78" s="9">
        <v>970</v>
      </c>
      <c r="E78" s="9">
        <v>230</v>
      </c>
      <c r="F78" s="64"/>
      <c r="G78" s="64"/>
      <c r="H78" s="2">
        <f t="shared" si="10"/>
        <v>1200</v>
      </c>
    </row>
    <row r="79" spans="2:8" x14ac:dyDescent="0.25">
      <c r="B79" s="8" t="s">
        <v>71</v>
      </c>
      <c r="C79" s="9"/>
      <c r="D79" s="9"/>
      <c r="E79" s="9">
        <f>100+50</f>
        <v>150</v>
      </c>
      <c r="F79" s="64"/>
      <c r="G79" s="64"/>
      <c r="H79" s="2">
        <f t="shared" si="10"/>
        <v>150</v>
      </c>
    </row>
    <row r="80" spans="2:8" x14ac:dyDescent="0.25">
      <c r="B80" s="8" t="s">
        <v>72</v>
      </c>
      <c r="C80" s="9">
        <f>200-50</f>
        <v>150</v>
      </c>
      <c r="D80" s="9"/>
      <c r="E80" s="9"/>
      <c r="F80" s="64"/>
      <c r="G80" s="64"/>
      <c r="H80" s="2">
        <f t="shared" si="10"/>
        <v>150</v>
      </c>
    </row>
    <row r="81" spans="2:8" x14ac:dyDescent="0.25">
      <c r="B81" s="8" t="s">
        <v>73</v>
      </c>
      <c r="C81" s="9"/>
      <c r="D81" s="9">
        <f>60+100</f>
        <v>160</v>
      </c>
      <c r="E81" s="9">
        <v>600</v>
      </c>
      <c r="F81" s="64"/>
      <c r="G81" s="64"/>
      <c r="H81" s="2">
        <f t="shared" si="10"/>
        <v>760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9">
        <v>1000</v>
      </c>
      <c r="F84" s="64"/>
      <c r="G84" s="64"/>
      <c r="H84" s="2">
        <f t="shared" si="10"/>
        <v>1000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9">
        <f>5200+500</f>
        <v>5700</v>
      </c>
      <c r="D88" s="9"/>
      <c r="E88" s="9"/>
      <c r="F88" s="64"/>
      <c r="G88" s="64"/>
      <c r="H88" s="2">
        <f t="shared" si="10"/>
        <v>5700</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
        <f>60+1472</f>
        <v>1532</v>
      </c>
      <c r="E91" s="1">
        <f>1800-280+100</f>
        <v>1620</v>
      </c>
      <c r="F91" s="37"/>
      <c r="G91" s="37"/>
      <c r="H91" s="2">
        <f t="shared" si="10"/>
        <v>3152</v>
      </c>
    </row>
    <row r="92" spans="2:8" ht="15.75" thickBot="1" x14ac:dyDescent="0.3">
      <c r="B92" s="41" t="s">
        <v>84</v>
      </c>
      <c r="C92" s="45">
        <f>SUM(C93:C98)</f>
        <v>1650</v>
      </c>
      <c r="D92" s="45"/>
      <c r="E92" s="45">
        <f t="shared" ref="E92:G92" si="11">SUM(E93:E98)</f>
        <v>8900</v>
      </c>
      <c r="F92" s="45">
        <f t="shared" si="11"/>
        <v>1870</v>
      </c>
      <c r="G92" s="45">
        <f t="shared" si="11"/>
        <v>0</v>
      </c>
      <c r="H92" s="45">
        <f>SUM(H93:H98)</f>
        <v>12420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9">
        <f>2000+800+1000-500-500</f>
        <v>2800</v>
      </c>
      <c r="F95" s="64"/>
      <c r="G95" s="64"/>
      <c r="H95" s="9">
        <f t="shared" si="12"/>
        <v>2800</v>
      </c>
    </row>
    <row r="96" spans="2:8" x14ac:dyDescent="0.25">
      <c r="B96" s="8" t="s">
        <v>87</v>
      </c>
      <c r="C96" s="9">
        <v>1000</v>
      </c>
      <c r="D96" s="9"/>
      <c r="E96" s="9">
        <f>200+300+500+2000-500</f>
        <v>2500</v>
      </c>
      <c r="F96" s="64"/>
      <c r="G96" s="64"/>
      <c r="H96" s="9">
        <f t="shared" si="12"/>
        <v>3500</v>
      </c>
    </row>
    <row r="97" spans="2:8" x14ac:dyDescent="0.25">
      <c r="B97" s="8" t="s">
        <v>88</v>
      </c>
      <c r="C97" s="9"/>
      <c r="D97" s="9"/>
      <c r="E97" s="9">
        <v>50</v>
      </c>
      <c r="F97" s="64"/>
      <c r="G97" s="64"/>
      <c r="H97" s="9">
        <f t="shared" si="12"/>
        <v>50</v>
      </c>
    </row>
    <row r="98" spans="2:8" ht="15.75" thickBot="1" x14ac:dyDescent="0.3">
      <c r="B98" s="12" t="s">
        <v>89</v>
      </c>
      <c r="C98" s="1"/>
      <c r="D98" s="1"/>
      <c r="E98" s="74">
        <f>3500-500+500</f>
        <v>3500</v>
      </c>
      <c r="F98" s="98">
        <v>1870</v>
      </c>
      <c r="G98" s="37"/>
      <c r="H98" s="2">
        <f t="shared" si="12"/>
        <v>5370</v>
      </c>
    </row>
    <row r="99" spans="2:8" ht="15.75" thickBot="1" x14ac:dyDescent="0.3">
      <c r="B99" s="41" t="s">
        <v>90</v>
      </c>
      <c r="C99" s="45">
        <f>SUM(C100:C123)</f>
        <v>26460</v>
      </c>
      <c r="D99" s="45"/>
      <c r="E99" s="45">
        <f t="shared" ref="E99:H99" si="13">SUM(E100:E123)</f>
        <v>2060</v>
      </c>
      <c r="F99" s="45">
        <f>SUM(F100:F123)</f>
        <v>500</v>
      </c>
      <c r="G99" s="45">
        <f t="shared" si="13"/>
        <v>0</v>
      </c>
      <c r="H99" s="45">
        <f t="shared" si="13"/>
        <v>29020</v>
      </c>
    </row>
    <row r="100" spans="2:8" x14ac:dyDescent="0.25">
      <c r="B100" s="6" t="s">
        <v>91</v>
      </c>
      <c r="C100" s="128">
        <f>800-600</f>
        <v>200</v>
      </c>
      <c r="D100" s="75"/>
      <c r="E100" s="7"/>
      <c r="F100" s="7"/>
      <c r="G100" s="7"/>
      <c r="H100" s="9">
        <f>SUM(C100:G100)</f>
        <v>200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73">
        <f>200+100</f>
        <v>300</v>
      </c>
      <c r="D103" s="73"/>
      <c r="E103" s="9"/>
      <c r="F103" s="9"/>
      <c r="G103" s="9"/>
      <c r="H103" s="9">
        <f t="shared" si="14"/>
        <v>300</v>
      </c>
    </row>
    <row r="104" spans="2:8" x14ac:dyDescent="0.25">
      <c r="B104" s="8" t="s">
        <v>94</v>
      </c>
      <c r="C104" s="73">
        <f>800+400</f>
        <v>1200</v>
      </c>
      <c r="D104" s="73"/>
      <c r="E104" s="9"/>
      <c r="F104" s="9"/>
      <c r="G104" s="9"/>
      <c r="H104" s="9">
        <f t="shared" si="14"/>
        <v>1200</v>
      </c>
    </row>
    <row r="105" spans="2:8" x14ac:dyDescent="0.25">
      <c r="B105" s="8" t="s">
        <v>95</v>
      </c>
      <c r="C105" s="73">
        <f>300+100-100</f>
        <v>300</v>
      </c>
      <c r="D105" s="73"/>
      <c r="E105" s="9"/>
      <c r="F105" s="9"/>
      <c r="G105" s="9"/>
      <c r="H105" s="9">
        <f t="shared" si="14"/>
        <v>300</v>
      </c>
    </row>
    <row r="106" spans="2:8" x14ac:dyDescent="0.25">
      <c r="B106" s="8" t="s">
        <v>96</v>
      </c>
      <c r="C106" s="73">
        <f>1250+500</f>
        <v>1750</v>
      </c>
      <c r="D106" s="73"/>
      <c r="E106" s="9">
        <v>10</v>
      </c>
      <c r="F106" s="9"/>
      <c r="G106" s="9"/>
      <c r="H106" s="9">
        <f t="shared" si="14"/>
        <v>1760</v>
      </c>
    </row>
    <row r="107" spans="2:8" x14ac:dyDescent="0.25">
      <c r="B107" s="8" t="s">
        <v>160</v>
      </c>
      <c r="C107" s="73">
        <v>0</v>
      </c>
      <c r="D107" s="73"/>
      <c r="E107" s="9"/>
      <c r="F107" s="9"/>
      <c r="G107" s="9"/>
      <c r="H107" s="9">
        <f t="shared" si="14"/>
        <v>0</v>
      </c>
    </row>
    <row r="108" spans="2:8" x14ac:dyDescent="0.25">
      <c r="B108" s="8" t="s">
        <v>97</v>
      </c>
      <c r="C108" s="73">
        <v>1200</v>
      </c>
      <c r="D108" s="73"/>
      <c r="E108" s="9"/>
      <c r="F108" s="9"/>
      <c r="G108" s="9"/>
      <c r="H108" s="9">
        <f t="shared" si="14"/>
        <v>1200</v>
      </c>
    </row>
    <row r="109" spans="2:8" x14ac:dyDescent="0.25">
      <c r="B109" s="8" t="s">
        <v>98</v>
      </c>
      <c r="C109" s="73">
        <f>1200-600</f>
        <v>600</v>
      </c>
      <c r="D109" s="73"/>
      <c r="E109" s="9"/>
      <c r="F109" s="9"/>
      <c r="G109" s="9"/>
      <c r="H109" s="9">
        <f t="shared" si="14"/>
        <v>600</v>
      </c>
    </row>
    <row r="110" spans="2:8" x14ac:dyDescent="0.25">
      <c r="B110" s="8" t="s">
        <v>99</v>
      </c>
      <c r="C110" s="66">
        <f>5000+1000+1200+600</f>
        <v>7800</v>
      </c>
      <c r="D110" s="9"/>
      <c r="E110" s="9"/>
      <c r="F110" s="9"/>
      <c r="G110" s="9"/>
      <c r="H110" s="9">
        <f t="shared" si="14"/>
        <v>7800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73">
        <f>900+200</f>
        <v>1100</v>
      </c>
      <c r="D113" s="73"/>
      <c r="E113" s="9"/>
      <c r="F113" s="9"/>
      <c r="G113" s="9"/>
      <c r="H113" s="9">
        <f t="shared" si="14"/>
        <v>1100</v>
      </c>
    </row>
    <row r="114" spans="2:12" x14ac:dyDescent="0.25">
      <c r="B114" s="8" t="s">
        <v>102</v>
      </c>
      <c r="C114" s="73">
        <v>1200</v>
      </c>
      <c r="D114" s="73"/>
      <c r="E114" s="9"/>
      <c r="F114" s="9"/>
      <c r="G114" s="9"/>
      <c r="H114" s="9">
        <f t="shared" si="14"/>
        <v>1200</v>
      </c>
    </row>
    <row r="115" spans="2:12" x14ac:dyDescent="0.25">
      <c r="B115" s="8" t="s">
        <v>103</v>
      </c>
      <c r="C115" s="73">
        <v>100</v>
      </c>
      <c r="D115" s="73"/>
      <c r="E115" s="9"/>
      <c r="F115" s="9"/>
      <c r="G115" s="9"/>
      <c r="H115" s="9">
        <f t="shared" si="14"/>
        <v>100</v>
      </c>
    </row>
    <row r="116" spans="2:12" x14ac:dyDescent="0.25">
      <c r="B116" s="8" t="s">
        <v>104</v>
      </c>
      <c r="C116" s="9">
        <v>500</v>
      </c>
      <c r="D116" s="9"/>
      <c r="E116" s="9">
        <f>500+50</f>
        <v>550</v>
      </c>
      <c r="F116" s="9"/>
      <c r="G116" s="9"/>
      <c r="H116" s="9">
        <f t="shared" si="14"/>
        <v>1050</v>
      </c>
    </row>
    <row r="117" spans="2:12" x14ac:dyDescent="0.25">
      <c r="B117" s="8" t="s">
        <v>105</v>
      </c>
      <c r="C117" s="73">
        <f>200-100</f>
        <v>100</v>
      </c>
      <c r="D117" s="73"/>
      <c r="E117" s="9"/>
      <c r="F117" s="9"/>
      <c r="G117" s="9"/>
      <c r="H117" s="9">
        <f t="shared" si="14"/>
        <v>100</v>
      </c>
    </row>
    <row r="118" spans="2:12" x14ac:dyDescent="0.25">
      <c r="B118" s="8" t="s">
        <v>106</v>
      </c>
      <c r="C118" s="73">
        <v>1200</v>
      </c>
      <c r="D118" s="73"/>
      <c r="E118" s="9"/>
      <c r="F118" s="9"/>
      <c r="G118" s="9"/>
      <c r="H118" s="9">
        <f t="shared" si="14"/>
        <v>1200</v>
      </c>
    </row>
    <row r="119" spans="2:12" x14ac:dyDescent="0.25">
      <c r="B119" s="8" t="s">
        <v>107</v>
      </c>
      <c r="C119" s="73">
        <f>4100-100-500</f>
        <v>3500</v>
      </c>
      <c r="D119" s="104"/>
      <c r="E119" s="9"/>
      <c r="F119" s="9">
        <v>500</v>
      </c>
      <c r="G119" s="9"/>
      <c r="H119" s="9">
        <f t="shared" si="14"/>
        <v>4000</v>
      </c>
    </row>
    <row r="120" spans="2:12" x14ac:dyDescent="0.25">
      <c r="B120" s="23" t="s">
        <v>108</v>
      </c>
      <c r="C120" s="9">
        <f>1850+340+258+64+120-250-300-82+220-100</f>
        <v>2120</v>
      </c>
      <c r="D120" s="102"/>
      <c r="E120" s="9"/>
      <c r="F120" s="9"/>
      <c r="G120" s="9"/>
      <c r="H120" s="9">
        <f t="shared" si="14"/>
        <v>2120</v>
      </c>
    </row>
    <row r="121" spans="2:12" x14ac:dyDescent="0.25">
      <c r="B121" s="8" t="s">
        <v>109</v>
      </c>
      <c r="C121" s="9">
        <v>900</v>
      </c>
      <c r="D121" s="9"/>
      <c r="E121" s="9"/>
      <c r="F121" s="9"/>
      <c r="G121" s="9"/>
      <c r="H121" s="9">
        <f t="shared" si="14"/>
        <v>900</v>
      </c>
    </row>
    <row r="122" spans="2:12" x14ac:dyDescent="0.25">
      <c r="B122" s="8" t="s">
        <v>110</v>
      </c>
      <c r="C122" s="9"/>
      <c r="D122" s="9"/>
      <c r="E122" s="9">
        <f>1200+200</f>
        <v>1400</v>
      </c>
      <c r="F122" s="9"/>
      <c r="G122" s="9"/>
      <c r="H122" s="9">
        <f t="shared" si="14"/>
        <v>1400</v>
      </c>
      <c r="L122" s="56"/>
    </row>
    <row r="123" spans="2:12" ht="15.75" thickBot="1" x14ac:dyDescent="0.3">
      <c r="B123" s="12" t="s">
        <v>111</v>
      </c>
      <c r="C123" s="36">
        <f>800+100</f>
        <v>900</v>
      </c>
      <c r="D123" s="36"/>
      <c r="E123" s="1"/>
      <c r="F123" s="1"/>
      <c r="G123" s="36"/>
      <c r="H123" s="9">
        <f t="shared" si="14"/>
        <v>900</v>
      </c>
    </row>
    <row r="124" spans="2:12" ht="15.75" thickBot="1" x14ac:dyDescent="0.3">
      <c r="B124" s="41" t="s">
        <v>112</v>
      </c>
      <c r="C124" s="45">
        <f>SUM(C125:C145)</f>
        <v>188332</v>
      </c>
      <c r="D124" s="45">
        <f>SUM(D125:D145)</f>
        <v>103</v>
      </c>
      <c r="E124" s="45">
        <f t="shared" ref="E124" si="15">SUM(E125:E145)</f>
        <v>6070</v>
      </c>
      <c r="F124" s="45"/>
      <c r="G124" s="45"/>
      <c r="H124" s="45">
        <f>SUM(H125:H145)</f>
        <v>194505</v>
      </c>
      <c r="L124" s="56"/>
    </row>
    <row r="125" spans="2:12" x14ac:dyDescent="0.25">
      <c r="B125" s="6" t="s">
        <v>113</v>
      </c>
      <c r="C125" s="7">
        <f>5700+600+400</f>
        <v>6700</v>
      </c>
      <c r="D125" s="7"/>
      <c r="E125" s="7">
        <v>150</v>
      </c>
      <c r="F125" s="7"/>
      <c r="G125" s="7"/>
      <c r="H125" s="9">
        <f>SUM(C125:G125)</f>
        <v>6850</v>
      </c>
    </row>
    <row r="126" spans="2:12" x14ac:dyDescent="0.25">
      <c r="B126" s="8" t="s">
        <v>114</v>
      </c>
      <c r="C126" s="73">
        <v>350</v>
      </c>
      <c r="D126" s="73"/>
      <c r="E126" s="9"/>
      <c r="F126" s="9"/>
      <c r="G126" s="9"/>
      <c r="H126" s="9">
        <f t="shared" ref="H126:H145" si="16">SUM(C126:G126)</f>
        <v>350</v>
      </c>
    </row>
    <row r="127" spans="2:12" x14ac:dyDescent="0.25">
      <c r="B127" s="8" t="s">
        <v>162</v>
      </c>
      <c r="C127" s="73">
        <v>100</v>
      </c>
      <c r="D127" s="73"/>
      <c r="E127" s="9"/>
      <c r="F127" s="9"/>
      <c r="G127" s="9"/>
      <c r="H127" s="9">
        <f t="shared" si="16"/>
        <v>100</v>
      </c>
    </row>
    <row r="128" spans="2:12" x14ac:dyDescent="0.25">
      <c r="B128" s="8" t="s">
        <v>115</v>
      </c>
      <c r="C128" s="73">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73">
        <f>8500+1500+72+965-1000</f>
        <v>10037</v>
      </c>
      <c r="D132" s="104"/>
      <c r="E132" s="9">
        <v>1000</v>
      </c>
      <c r="F132" s="9"/>
      <c r="G132" s="9"/>
      <c r="H132" s="9">
        <f t="shared" si="16"/>
        <v>11037</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73">
        <f>21800+5000+5700</f>
        <v>32500</v>
      </c>
      <c r="D135" s="104"/>
      <c r="E135" s="9">
        <f>1000-200</f>
        <v>800</v>
      </c>
      <c r="F135" s="9"/>
      <c r="G135" s="9"/>
      <c r="H135" s="9">
        <f t="shared" si="16"/>
        <v>33300</v>
      </c>
    </row>
    <row r="136" spans="2:8" x14ac:dyDescent="0.25">
      <c r="B136" s="8" t="s">
        <v>122</v>
      </c>
      <c r="C136" s="66">
        <f>53648+7892</f>
        <v>61540</v>
      </c>
      <c r="D136" s="108"/>
      <c r="E136" s="9">
        <f>1000-200-200</f>
        <v>600</v>
      </c>
      <c r="F136" s="9"/>
      <c r="G136" s="66"/>
      <c r="H136" s="9">
        <f t="shared" si="16"/>
        <v>62140</v>
      </c>
    </row>
    <row r="137" spans="2:8" x14ac:dyDescent="0.25">
      <c r="B137" s="8" t="s">
        <v>158</v>
      </c>
      <c r="C137" s="66">
        <f>33077+3200+29000</f>
        <v>65277</v>
      </c>
      <c r="D137" s="66"/>
      <c r="E137" s="9">
        <v>500</v>
      </c>
      <c r="F137" s="9"/>
      <c r="G137" s="9"/>
      <c r="H137" s="9">
        <f t="shared" si="16"/>
        <v>65777</v>
      </c>
    </row>
    <row r="138" spans="2:8" x14ac:dyDescent="0.25">
      <c r="B138" s="8" t="s">
        <v>123</v>
      </c>
      <c r="C138" s="125">
        <v>1200</v>
      </c>
      <c r="D138" s="90">
        <v>64</v>
      </c>
      <c r="E138" s="90">
        <f>1000-500+500+200</f>
        <v>1200</v>
      </c>
      <c r="F138" s="90"/>
      <c r="G138" s="13"/>
      <c r="H138" s="9">
        <f t="shared" si="16"/>
        <v>2464</v>
      </c>
    </row>
    <row r="139" spans="2:8" x14ac:dyDescent="0.25">
      <c r="B139" s="8" t="s">
        <v>124</v>
      </c>
      <c r="C139" s="9">
        <v>3100</v>
      </c>
      <c r="D139" s="9"/>
      <c r="E139" s="9"/>
      <c r="F139" s="9"/>
      <c r="G139" s="9"/>
      <c r="H139" s="9">
        <f t="shared" si="16"/>
        <v>3100</v>
      </c>
    </row>
    <row r="140" spans="2:8" x14ac:dyDescent="0.25">
      <c r="B140" s="8" t="s">
        <v>125</v>
      </c>
      <c r="C140" s="9">
        <f>1800-600</f>
        <v>1200</v>
      </c>
      <c r="D140" s="9"/>
      <c r="E140" s="9"/>
      <c r="F140" s="9"/>
      <c r="G140" s="9"/>
      <c r="H140" s="9">
        <f t="shared" si="16"/>
        <v>1200</v>
      </c>
    </row>
    <row r="141" spans="2:8" x14ac:dyDescent="0.25">
      <c r="B141" s="8" t="s">
        <v>164</v>
      </c>
      <c r="C141" s="9">
        <f>166-38</f>
        <v>128</v>
      </c>
      <c r="D141" s="9"/>
      <c r="E141" s="9"/>
      <c r="F141" s="9"/>
      <c r="G141" s="9"/>
      <c r="H141" s="9">
        <f t="shared" si="16"/>
        <v>128</v>
      </c>
    </row>
    <row r="142" spans="2:8" x14ac:dyDescent="0.25">
      <c r="B142" s="8" t="s">
        <v>126</v>
      </c>
      <c r="C142" s="9">
        <f>1200+300</f>
        <v>1500</v>
      </c>
      <c r="D142" s="9"/>
      <c r="E142" s="9">
        <f>100+100</f>
        <v>200</v>
      </c>
      <c r="F142" s="9"/>
      <c r="G142" s="9"/>
      <c r="H142" s="9">
        <f t="shared" si="16"/>
        <v>1700</v>
      </c>
    </row>
    <row r="143" spans="2:8" x14ac:dyDescent="0.25">
      <c r="B143" s="8" t="s">
        <v>127</v>
      </c>
      <c r="C143" s="9">
        <v>1600</v>
      </c>
      <c r="D143" s="9"/>
      <c r="E143" s="9"/>
      <c r="F143" s="9"/>
      <c r="G143" s="9"/>
      <c r="H143" s="9">
        <f t="shared" si="16"/>
        <v>1600</v>
      </c>
    </row>
    <row r="144" spans="2:8" x14ac:dyDescent="0.25">
      <c r="B144" s="8" t="s">
        <v>128</v>
      </c>
      <c r="C144" s="66">
        <f>400-100</f>
        <v>300</v>
      </c>
      <c r="D144" s="66"/>
      <c r="E144" s="9">
        <v>100</v>
      </c>
      <c r="F144" s="9"/>
      <c r="G144" s="9"/>
      <c r="H144" s="9">
        <f>SUM(C144:G144)</f>
        <v>400</v>
      </c>
    </row>
    <row r="145" spans="2:8" ht="15.75" thickBot="1" x14ac:dyDescent="0.3">
      <c r="B145" s="17" t="s">
        <v>129</v>
      </c>
      <c r="C145" s="1"/>
      <c r="D145" s="1">
        <v>39</v>
      </c>
      <c r="E145" s="1">
        <f>600+200</f>
        <v>800</v>
      </c>
      <c r="F145" s="1"/>
      <c r="G145" s="1"/>
      <c r="H145" s="9">
        <f t="shared" si="16"/>
        <v>839</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80">
        <f>1500+1500+200+500</f>
        <v>3700</v>
      </c>
      <c r="F147" s="100"/>
      <c r="G147" s="81"/>
      <c r="H147" s="72">
        <f t="shared" ref="H147" si="17">SUM(C147:G147)</f>
        <v>3700</v>
      </c>
    </row>
    <row r="148" spans="2:8" ht="15.75" thickBot="1" x14ac:dyDescent="0.3">
      <c r="B148" s="47" t="s">
        <v>151</v>
      </c>
      <c r="C148" s="65">
        <f>SUM(C149:C152)</f>
        <v>2000</v>
      </c>
      <c r="D148" s="44"/>
      <c r="E148" s="86">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43">
        <f>200+400+100-200+300</f>
        <v>800</v>
      </c>
      <c r="F154" s="43"/>
      <c r="G154" s="82"/>
      <c r="H154" s="44">
        <f>SUM(C154:E154)</f>
        <v>800</v>
      </c>
    </row>
    <row r="155" spans="2:8" ht="16.5" thickBot="1" x14ac:dyDescent="0.3">
      <c r="B155" s="29" t="s">
        <v>136</v>
      </c>
      <c r="C155" s="30">
        <f>SUM(C19,C20,C21,C29,C32,C57,C67,C92,C99,C124,C146,C147,C148,C153,C154,C22)</f>
        <v>2730303</v>
      </c>
      <c r="D155" s="30">
        <f>SUM(D19,D20,D21,D29,D32,D57,D67,D92,D99,D124,D146,D147,D148,D153,D154,D22)</f>
        <v>8523</v>
      </c>
      <c r="E155" s="30">
        <f>SUM(E19,E20,E21,E29,E32,E57,E67,E92,E99,E124,E146,E147,E148,E153,E154,E22)</f>
        <v>78730</v>
      </c>
      <c r="F155" s="30">
        <f>SUM(F19,F20,F21,F29,F32,F57,F67,F92,F99,F124,F146,F147,F148,F153,F154,F22)</f>
        <v>2551</v>
      </c>
      <c r="G155" s="30">
        <f>SUM(G19,G20,G21,G29,G32,G57,G67,G92,G99,G124,G146,G147,G148,G153,G154,G22)</f>
        <v>288</v>
      </c>
      <c r="H155" s="30">
        <f>SUM(H19,H20,H21,H22,H29,H32,H57,H67,H92,H99,H124,H146,H147,H148,H153,H154)</f>
        <v>2820395</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112">
        <v>4000</v>
      </c>
      <c r="E158" s="9"/>
      <c r="F158" s="64"/>
      <c r="G158" s="77"/>
      <c r="H158" s="2">
        <f t="shared" si="20"/>
        <v>4000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64">
        <v>4000</v>
      </c>
      <c r="G161" s="77"/>
      <c r="H161" s="2">
        <f t="shared" si="20"/>
        <v>4000</v>
      </c>
    </row>
    <row r="162" spans="1:12" x14ac:dyDescent="0.25">
      <c r="B162" s="21" t="s">
        <v>140</v>
      </c>
      <c r="C162" s="20"/>
      <c r="D162" s="20">
        <v>23084</v>
      </c>
      <c r="E162" s="9">
        <f>200-100-50</f>
        <v>50</v>
      </c>
      <c r="F162" s="64"/>
      <c r="G162" s="77"/>
      <c r="H162" s="2">
        <f t="shared" si="20"/>
        <v>23134</v>
      </c>
    </row>
    <row r="163" spans="1:12" x14ac:dyDescent="0.25">
      <c r="B163" s="19" t="s">
        <v>141</v>
      </c>
      <c r="C163" s="20"/>
      <c r="D163" s="20">
        <v>34727</v>
      </c>
      <c r="E163" s="9">
        <f>600-200</f>
        <v>400</v>
      </c>
      <c r="F163" s="64"/>
      <c r="G163" s="77"/>
      <c r="H163" s="2">
        <f t="shared" si="20"/>
        <v>35127</v>
      </c>
    </row>
    <row r="164" spans="1:12" x14ac:dyDescent="0.25">
      <c r="B164" s="21" t="s">
        <v>142</v>
      </c>
      <c r="C164" s="20"/>
      <c r="D164" s="20">
        <v>500</v>
      </c>
      <c r="E164" s="9">
        <f>400+200+150+100+200+20+100+50</f>
        <v>1220</v>
      </c>
      <c r="F164" s="64">
        <v>729</v>
      </c>
      <c r="G164" s="77"/>
      <c r="H164" s="2">
        <f t="shared" si="20"/>
        <v>2449</v>
      </c>
      <c r="K164" s="56"/>
    </row>
    <row r="165" spans="1:12" x14ac:dyDescent="0.25">
      <c r="B165" s="21" t="s">
        <v>176</v>
      </c>
      <c r="C165" s="20"/>
      <c r="D165" s="20"/>
      <c r="E165" s="9">
        <f>15+20</f>
        <v>35</v>
      </c>
      <c r="F165" s="64"/>
      <c r="G165" s="77"/>
      <c r="H165" s="2">
        <f t="shared" si="20"/>
        <v>35</v>
      </c>
    </row>
    <row r="166" spans="1:12" x14ac:dyDescent="0.25">
      <c r="B166" s="19" t="s">
        <v>143</v>
      </c>
      <c r="C166" s="20"/>
      <c r="D166" s="20"/>
      <c r="E166" s="9">
        <f>300-150+100+300+50</f>
        <v>600</v>
      </c>
      <c r="F166" s="64"/>
      <c r="G166" s="77"/>
      <c r="H166" s="2">
        <f t="shared" si="20"/>
        <v>600</v>
      </c>
    </row>
    <row r="167" spans="1:12" x14ac:dyDescent="0.25">
      <c r="B167" s="22" t="s">
        <v>144</v>
      </c>
      <c r="C167" s="20"/>
      <c r="D167" s="20">
        <v>22200</v>
      </c>
      <c r="E167" s="9">
        <v>500</v>
      </c>
      <c r="F167" s="64"/>
      <c r="G167" s="77"/>
      <c r="H167" s="2">
        <f t="shared" si="20"/>
        <v>22700</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84511</v>
      </c>
      <c r="E171" s="30">
        <f>SUM(E156:E170)</f>
        <v>2955</v>
      </c>
      <c r="F171" s="30">
        <f t="shared" si="21"/>
        <v>4729</v>
      </c>
      <c r="G171" s="30">
        <f t="shared" si="21"/>
        <v>2797</v>
      </c>
      <c r="H171" s="30">
        <f t="shared" si="21"/>
        <v>94992</v>
      </c>
    </row>
    <row r="172" spans="1:12" ht="16.5" customHeight="1" thickBot="1" x14ac:dyDescent="0.3">
      <c r="B172" s="34" t="s">
        <v>148</v>
      </c>
      <c r="C172" s="35">
        <f t="shared" ref="C172:G172" si="22">C155+C171</f>
        <v>2730303</v>
      </c>
      <c r="D172" s="35">
        <f t="shared" si="22"/>
        <v>93034</v>
      </c>
      <c r="E172" s="35">
        <f t="shared" si="22"/>
        <v>81685</v>
      </c>
      <c r="F172" s="35">
        <f>F155+F171</f>
        <v>7280</v>
      </c>
      <c r="G172" s="35">
        <f t="shared" si="22"/>
        <v>3085</v>
      </c>
      <c r="H172" s="35">
        <f>H155+H171</f>
        <v>2915387</v>
      </c>
      <c r="L172" s="56"/>
    </row>
    <row r="173" spans="1:12" ht="156.75" customHeight="1" x14ac:dyDescent="0.25">
      <c r="A173" s="89"/>
      <c r="B173" s="146" t="s">
        <v>216</v>
      </c>
      <c r="C173" s="146"/>
      <c r="D173" s="146"/>
      <c r="E173" s="146"/>
      <c r="F173" s="146"/>
      <c r="G173" s="146"/>
      <c r="H173" s="146"/>
    </row>
    <row r="174" spans="1:12" ht="15" customHeight="1" x14ac:dyDescent="0.25">
      <c r="E174" s="147" t="s">
        <v>179</v>
      </c>
      <c r="F174" s="147"/>
      <c r="G174" s="147"/>
      <c r="H174" s="147"/>
    </row>
    <row r="175" spans="1:12" ht="1.5" hidden="1" customHeight="1" x14ac:dyDescent="0.25">
      <c r="E175" s="147" t="s">
        <v>180</v>
      </c>
      <c r="F175" s="147"/>
      <c r="G175" s="147"/>
      <c r="H175" s="147"/>
    </row>
    <row r="176" spans="1:12" hidden="1" x14ac:dyDescent="0.25">
      <c r="C176" s="56"/>
      <c r="D176" s="56"/>
      <c r="E176" s="147"/>
      <c r="F176" s="147"/>
      <c r="G176" s="147"/>
      <c r="H176" s="147"/>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zoomScale="110" zoomScaleNormal="110" workbookViewId="0">
      <selection activeCell="G8" sqref="G8"/>
    </sheetView>
  </sheetViews>
  <sheetFormatPr defaultRowHeight="15" x14ac:dyDescent="0.25"/>
  <cols>
    <col min="1" max="1" width="54.7109375" customWidth="1"/>
    <col min="2" max="2" width="13.5703125" customWidth="1"/>
    <col min="3" max="3" width="12.7109375" customWidth="1"/>
  </cols>
  <sheetData>
    <row r="2" spans="1:3" x14ac:dyDescent="0.25">
      <c r="A2" s="148" t="s">
        <v>0</v>
      </c>
      <c r="B2" s="148"/>
      <c r="C2" s="148"/>
    </row>
    <row r="3" spans="1:3" x14ac:dyDescent="0.25">
      <c r="A3" s="149" t="s">
        <v>215</v>
      </c>
      <c r="B3" s="149"/>
      <c r="C3" s="149"/>
    </row>
    <row r="4" spans="1:3" ht="15.75" thickBot="1" x14ac:dyDescent="0.3">
      <c r="A4" s="59"/>
      <c r="B4" s="5" t="s">
        <v>1</v>
      </c>
      <c r="C4" s="127"/>
    </row>
    <row r="5" spans="1:3" ht="43.5" thickBot="1" x14ac:dyDescent="0.3">
      <c r="A5" s="24" t="s">
        <v>2</v>
      </c>
      <c r="B5" s="25" t="s">
        <v>5</v>
      </c>
      <c r="C5" s="57" t="s">
        <v>154</v>
      </c>
    </row>
    <row r="6" spans="1:3" ht="15.75" x14ac:dyDescent="0.25">
      <c r="A6" s="26" t="s">
        <v>6</v>
      </c>
      <c r="B6" s="28"/>
      <c r="C6" s="28"/>
    </row>
    <row r="7" spans="1:3" x14ac:dyDescent="0.25">
      <c r="A7" s="6" t="s">
        <v>9</v>
      </c>
      <c r="B7" s="2">
        <v>2694462</v>
      </c>
      <c r="C7" s="67" t="s">
        <v>7</v>
      </c>
    </row>
    <row r="8" spans="1:3" x14ac:dyDescent="0.25">
      <c r="A8" s="8" t="s">
        <v>10</v>
      </c>
      <c r="B8" s="2">
        <v>30703</v>
      </c>
      <c r="C8" s="67" t="s">
        <v>7</v>
      </c>
    </row>
    <row r="9" spans="1:3" x14ac:dyDescent="0.25">
      <c r="A9" s="8" t="s">
        <v>195</v>
      </c>
      <c r="B9" s="2">
        <v>67385</v>
      </c>
      <c r="C9" s="67" t="s">
        <v>8</v>
      </c>
    </row>
    <row r="10" spans="1:3" x14ac:dyDescent="0.25">
      <c r="A10" s="8" t="s">
        <v>169</v>
      </c>
      <c r="B10" s="2">
        <v>11177</v>
      </c>
      <c r="C10" s="67" t="s">
        <v>155</v>
      </c>
    </row>
    <row r="11" spans="1:3" x14ac:dyDescent="0.25">
      <c r="A11" s="8" t="s">
        <v>171</v>
      </c>
      <c r="B11" s="2">
        <v>99633</v>
      </c>
      <c r="C11" s="67" t="s">
        <v>202</v>
      </c>
    </row>
    <row r="12" spans="1:3" x14ac:dyDescent="0.25">
      <c r="A12" s="8" t="s">
        <v>196</v>
      </c>
      <c r="B12" s="2">
        <v>681</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2915387</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2284333</v>
      </c>
      <c r="C19" s="63" t="s">
        <v>211</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2">
        <v>47924</v>
      </c>
      <c r="C22" s="69" t="s">
        <v>155</v>
      </c>
    </row>
    <row r="23" spans="1:3" x14ac:dyDescent="0.25">
      <c r="A23" s="110" t="s">
        <v>177</v>
      </c>
      <c r="B23" s="75">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2700</v>
      </c>
      <c r="C27" s="60" t="s">
        <v>155</v>
      </c>
    </row>
    <row r="28" spans="1:3" ht="15.75" thickBot="1" x14ac:dyDescent="0.3">
      <c r="A28" s="8" t="s">
        <v>167</v>
      </c>
      <c r="B28" s="7">
        <v>26170</v>
      </c>
      <c r="C28" s="60" t="s">
        <v>155</v>
      </c>
    </row>
    <row r="29" spans="1:3" ht="15.75" thickBot="1" x14ac:dyDescent="0.3">
      <c r="A29" s="41" t="s">
        <v>24</v>
      </c>
      <c r="B29" s="45">
        <v>40035</v>
      </c>
      <c r="C29" s="60"/>
    </row>
    <row r="30" spans="1:3" x14ac:dyDescent="0.25">
      <c r="A30" s="10" t="s">
        <v>25</v>
      </c>
      <c r="B30" s="88">
        <v>39725</v>
      </c>
      <c r="C30" s="60" t="s">
        <v>155</v>
      </c>
    </row>
    <row r="31" spans="1:3" x14ac:dyDescent="0.25">
      <c r="A31" s="53" t="s">
        <v>178</v>
      </c>
      <c r="B31" s="9">
        <v>310</v>
      </c>
      <c r="C31" s="70" t="s">
        <v>8</v>
      </c>
    </row>
    <row r="32" spans="1:3" ht="15.75" thickBot="1" x14ac:dyDescent="0.3">
      <c r="A32" s="48" t="s">
        <v>26</v>
      </c>
      <c r="B32" s="86">
        <v>110242</v>
      </c>
      <c r="C32" s="70"/>
    </row>
    <row r="33" spans="1:3" x14ac:dyDescent="0.25">
      <c r="A33" s="71" t="s">
        <v>27</v>
      </c>
      <c r="B33" s="9">
        <v>2300</v>
      </c>
      <c r="C33" s="60" t="s">
        <v>155</v>
      </c>
    </row>
    <row r="34" spans="1:3" x14ac:dyDescent="0.25">
      <c r="A34" s="53" t="s">
        <v>28</v>
      </c>
      <c r="B34" s="9">
        <v>28142</v>
      </c>
      <c r="C34" s="60" t="s">
        <v>155</v>
      </c>
    </row>
    <row r="35" spans="1:3" x14ac:dyDescent="0.25">
      <c r="A35" s="53" t="s">
        <v>29</v>
      </c>
      <c r="B35" s="9">
        <v>15000</v>
      </c>
      <c r="C35" s="60" t="s">
        <v>155</v>
      </c>
    </row>
    <row r="36" spans="1:3" x14ac:dyDescent="0.25">
      <c r="A36" s="53" t="s">
        <v>30</v>
      </c>
      <c r="B36" s="9">
        <v>100</v>
      </c>
      <c r="C36" s="69" t="s">
        <v>7</v>
      </c>
    </row>
    <row r="37" spans="1:3" x14ac:dyDescent="0.25">
      <c r="A37" s="53" t="s">
        <v>31</v>
      </c>
      <c r="B37" s="9">
        <v>27450</v>
      </c>
      <c r="C37" s="69" t="s">
        <v>155</v>
      </c>
    </row>
    <row r="38" spans="1:3" x14ac:dyDescent="0.25">
      <c r="A38" s="53" t="s">
        <v>32</v>
      </c>
      <c r="B38" s="9">
        <v>6460</v>
      </c>
      <c r="C38" s="60" t="s">
        <v>7</v>
      </c>
    </row>
    <row r="39" spans="1:3" x14ac:dyDescent="0.25">
      <c r="A39" s="53" t="s">
        <v>33</v>
      </c>
      <c r="B39" s="9">
        <v>550</v>
      </c>
      <c r="C39" s="60" t="s">
        <v>7</v>
      </c>
    </row>
    <row r="40" spans="1:3" x14ac:dyDescent="0.25">
      <c r="A40" s="53" t="s">
        <v>34</v>
      </c>
      <c r="B40" s="9">
        <v>450</v>
      </c>
      <c r="C40" s="60" t="s">
        <v>7</v>
      </c>
    </row>
    <row r="41" spans="1:3" x14ac:dyDescent="0.25">
      <c r="A41" s="53" t="s">
        <v>35</v>
      </c>
      <c r="B41" s="9">
        <v>5400</v>
      </c>
      <c r="C41" s="60" t="s">
        <v>7</v>
      </c>
    </row>
    <row r="42" spans="1:3" x14ac:dyDescent="0.25">
      <c r="A42" s="53" t="s">
        <v>36</v>
      </c>
      <c r="B42" s="9">
        <v>7200</v>
      </c>
      <c r="C42" s="60" t="s">
        <v>155</v>
      </c>
    </row>
    <row r="43" spans="1:3" x14ac:dyDescent="0.25">
      <c r="A43" s="53" t="s">
        <v>37</v>
      </c>
      <c r="B43" s="9">
        <v>5000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750</v>
      </c>
      <c r="C47" s="60" t="s">
        <v>155</v>
      </c>
    </row>
    <row r="48" spans="1:3" x14ac:dyDescent="0.25">
      <c r="A48" s="53" t="s">
        <v>42</v>
      </c>
      <c r="B48" s="9">
        <v>350</v>
      </c>
      <c r="C48" s="60" t="s">
        <v>7</v>
      </c>
    </row>
    <row r="49" spans="1:3" x14ac:dyDescent="0.25">
      <c r="A49" s="53" t="s">
        <v>43</v>
      </c>
      <c r="B49" s="9">
        <v>550</v>
      </c>
      <c r="C49" s="60" t="s">
        <v>7</v>
      </c>
    </row>
    <row r="50" spans="1:3" x14ac:dyDescent="0.25">
      <c r="A50" s="53" t="s">
        <v>44</v>
      </c>
      <c r="B50" s="9">
        <v>3800</v>
      </c>
      <c r="C50" s="60" t="s">
        <v>7</v>
      </c>
    </row>
    <row r="51" spans="1:3" x14ac:dyDescent="0.25">
      <c r="A51" s="53" t="s">
        <v>45</v>
      </c>
      <c r="B51" s="9">
        <v>1200</v>
      </c>
      <c r="C51" s="60" t="s">
        <v>7</v>
      </c>
    </row>
    <row r="52" spans="1:3" x14ac:dyDescent="0.25">
      <c r="A52" s="53" t="s">
        <v>46</v>
      </c>
      <c r="B52" s="9">
        <v>280</v>
      </c>
      <c r="C52" s="60" t="s">
        <v>8</v>
      </c>
    </row>
    <row r="53" spans="1:3" x14ac:dyDescent="0.25">
      <c r="A53" s="53" t="s">
        <v>153</v>
      </c>
      <c r="B53" s="9">
        <v>360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1376</v>
      </c>
      <c r="C57" s="70"/>
    </row>
    <row r="58" spans="1:3" x14ac:dyDescent="0.25">
      <c r="A58" s="4" t="s">
        <v>51</v>
      </c>
      <c r="B58" s="7">
        <v>0</v>
      </c>
      <c r="C58" s="60"/>
    </row>
    <row r="59" spans="1:3" x14ac:dyDescent="0.25">
      <c r="A59" s="8" t="s">
        <v>52</v>
      </c>
      <c r="B59" s="7">
        <v>100</v>
      </c>
      <c r="C59" s="60" t="s">
        <v>8</v>
      </c>
    </row>
    <row r="60" spans="1:3" x14ac:dyDescent="0.25">
      <c r="A60" s="8" t="s">
        <v>53</v>
      </c>
      <c r="B60" s="7">
        <v>600</v>
      </c>
      <c r="C60" s="60" t="s">
        <v>8</v>
      </c>
    </row>
    <row r="61" spans="1:3" x14ac:dyDescent="0.25">
      <c r="A61" s="8" t="s">
        <v>54</v>
      </c>
      <c r="B61" s="7">
        <v>50</v>
      </c>
      <c r="C61" s="60" t="s">
        <v>8</v>
      </c>
    </row>
    <row r="62" spans="1:3" x14ac:dyDescent="0.25">
      <c r="A62" s="8" t="s">
        <v>55</v>
      </c>
      <c r="B62" s="7">
        <v>100</v>
      </c>
      <c r="C62" s="60" t="s">
        <v>8</v>
      </c>
    </row>
    <row r="63" spans="1:3" x14ac:dyDescent="0.25">
      <c r="A63" s="8" t="s">
        <v>56</v>
      </c>
      <c r="B63" s="7">
        <v>100</v>
      </c>
      <c r="C63" s="60" t="s">
        <v>8</v>
      </c>
    </row>
    <row r="64" spans="1:3" x14ac:dyDescent="0.25">
      <c r="A64" s="8" t="s">
        <v>57</v>
      </c>
      <c r="B64" s="7">
        <v>100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31956</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4800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70</v>
      </c>
      <c r="C77" s="60" t="s">
        <v>8</v>
      </c>
    </row>
    <row r="78" spans="1:3" x14ac:dyDescent="0.25">
      <c r="A78" s="8" t="s">
        <v>70</v>
      </c>
      <c r="B78" s="2">
        <v>1200</v>
      </c>
      <c r="C78" s="60" t="s">
        <v>8</v>
      </c>
    </row>
    <row r="79" spans="1:3" x14ac:dyDescent="0.25">
      <c r="A79" s="8" t="s">
        <v>71</v>
      </c>
      <c r="B79" s="2">
        <v>150</v>
      </c>
      <c r="C79" s="60" t="s">
        <v>8</v>
      </c>
    </row>
    <row r="80" spans="1:3" x14ac:dyDescent="0.25">
      <c r="A80" s="8" t="s">
        <v>72</v>
      </c>
      <c r="B80" s="2">
        <v>150</v>
      </c>
      <c r="C80" s="60" t="s">
        <v>7</v>
      </c>
    </row>
    <row r="81" spans="1:3" x14ac:dyDescent="0.25">
      <c r="A81" s="8" t="s">
        <v>73</v>
      </c>
      <c r="B81" s="2">
        <v>760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1000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5700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3152</v>
      </c>
      <c r="C91" s="60" t="s">
        <v>159</v>
      </c>
    </row>
    <row r="92" spans="1:3" ht="15.75" thickBot="1" x14ac:dyDescent="0.3">
      <c r="A92" s="41" t="s">
        <v>84</v>
      </c>
      <c r="B92" s="45">
        <v>12420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2800</v>
      </c>
      <c r="C95" s="60" t="s">
        <v>8</v>
      </c>
    </row>
    <row r="96" spans="1:3" x14ac:dyDescent="0.25">
      <c r="A96" s="8" t="s">
        <v>87</v>
      </c>
      <c r="B96" s="9">
        <v>3500</v>
      </c>
      <c r="C96" s="60" t="s">
        <v>155</v>
      </c>
    </row>
    <row r="97" spans="1:3" x14ac:dyDescent="0.25">
      <c r="A97" s="8" t="s">
        <v>88</v>
      </c>
      <c r="B97" s="9">
        <v>50</v>
      </c>
      <c r="C97" s="60" t="s">
        <v>8</v>
      </c>
    </row>
    <row r="98" spans="1:3" ht="15.75" thickBot="1" x14ac:dyDescent="0.3">
      <c r="A98" s="12" t="s">
        <v>89</v>
      </c>
      <c r="B98" s="2">
        <v>5370</v>
      </c>
      <c r="C98" s="60" t="s">
        <v>208</v>
      </c>
    </row>
    <row r="99" spans="1:3" ht="15.75" thickBot="1" x14ac:dyDescent="0.3">
      <c r="A99" s="41" t="s">
        <v>90</v>
      </c>
      <c r="B99" s="45">
        <v>29020</v>
      </c>
      <c r="C99" s="60"/>
    </row>
    <row r="100" spans="1:3" x14ac:dyDescent="0.25">
      <c r="A100" s="6" t="s">
        <v>91</v>
      </c>
      <c r="B100" s="9">
        <v>200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300</v>
      </c>
      <c r="C103" s="60" t="s">
        <v>7</v>
      </c>
    </row>
    <row r="104" spans="1:3" x14ac:dyDescent="0.25">
      <c r="A104" s="8" t="s">
        <v>94</v>
      </c>
      <c r="B104" s="9">
        <v>1200</v>
      </c>
      <c r="C104" s="60" t="s">
        <v>7</v>
      </c>
    </row>
    <row r="105" spans="1:3" x14ac:dyDescent="0.25">
      <c r="A105" s="8" t="s">
        <v>95</v>
      </c>
      <c r="B105" s="9">
        <v>300</v>
      </c>
      <c r="C105" s="60" t="s">
        <v>7</v>
      </c>
    </row>
    <row r="106" spans="1:3" x14ac:dyDescent="0.25">
      <c r="A106" s="8" t="s">
        <v>96</v>
      </c>
      <c r="B106" s="9">
        <v>1760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600</v>
      </c>
      <c r="C109" s="60" t="s">
        <v>7</v>
      </c>
    </row>
    <row r="110" spans="1:3" x14ac:dyDescent="0.25">
      <c r="A110" s="8" t="s">
        <v>99</v>
      </c>
      <c r="B110" s="9">
        <v>7800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1100</v>
      </c>
      <c r="C113" s="60" t="s">
        <v>7</v>
      </c>
    </row>
    <row r="114" spans="1:3" x14ac:dyDescent="0.25">
      <c r="A114" s="8" t="s">
        <v>102</v>
      </c>
      <c r="B114" s="9">
        <v>1200</v>
      </c>
      <c r="C114" s="60" t="s">
        <v>7</v>
      </c>
    </row>
    <row r="115" spans="1:3" x14ac:dyDescent="0.25">
      <c r="A115" s="8" t="s">
        <v>103</v>
      </c>
      <c r="B115" s="9">
        <v>100</v>
      </c>
      <c r="C115" s="60" t="s">
        <v>7</v>
      </c>
    </row>
    <row r="116" spans="1:3" x14ac:dyDescent="0.25">
      <c r="A116" s="8" t="s">
        <v>104</v>
      </c>
      <c r="B116" s="9">
        <v>1050</v>
      </c>
      <c r="C116" s="60" t="s">
        <v>7</v>
      </c>
    </row>
    <row r="117" spans="1:3" x14ac:dyDescent="0.25">
      <c r="A117" s="8" t="s">
        <v>105</v>
      </c>
      <c r="B117" s="9">
        <v>100</v>
      </c>
      <c r="C117" s="60" t="s">
        <v>7</v>
      </c>
    </row>
    <row r="118" spans="1:3" x14ac:dyDescent="0.25">
      <c r="A118" s="8" t="s">
        <v>106</v>
      </c>
      <c r="B118" s="9">
        <v>1200</v>
      </c>
      <c r="C118" s="60" t="s">
        <v>7</v>
      </c>
    </row>
    <row r="119" spans="1:3" x14ac:dyDescent="0.25">
      <c r="A119" s="8" t="s">
        <v>107</v>
      </c>
      <c r="B119" s="9">
        <v>4000</v>
      </c>
      <c r="C119" s="60" t="s">
        <v>203</v>
      </c>
    </row>
    <row r="120" spans="1:3" x14ac:dyDescent="0.25">
      <c r="A120" s="23" t="s">
        <v>108</v>
      </c>
      <c r="B120" s="9">
        <v>2120</v>
      </c>
      <c r="C120" s="60" t="s">
        <v>7</v>
      </c>
    </row>
    <row r="121" spans="1:3" x14ac:dyDescent="0.25">
      <c r="A121" s="8" t="s">
        <v>109</v>
      </c>
      <c r="B121" s="9">
        <v>900</v>
      </c>
      <c r="C121" s="60" t="s">
        <v>7</v>
      </c>
    </row>
    <row r="122" spans="1:3" x14ac:dyDescent="0.25">
      <c r="A122" s="8" t="s">
        <v>110</v>
      </c>
      <c r="B122" s="9">
        <v>1400</v>
      </c>
      <c r="C122" s="60" t="s">
        <v>8</v>
      </c>
    </row>
    <row r="123" spans="1:3" ht="15.75" thickBot="1" x14ac:dyDescent="0.3">
      <c r="A123" s="12" t="s">
        <v>111</v>
      </c>
      <c r="B123" s="9">
        <v>900</v>
      </c>
      <c r="C123" s="60" t="s">
        <v>7</v>
      </c>
    </row>
    <row r="124" spans="1:3" ht="15.75" thickBot="1" x14ac:dyDescent="0.3">
      <c r="A124" s="41" t="s">
        <v>112</v>
      </c>
      <c r="B124" s="45">
        <v>194505</v>
      </c>
      <c r="C124" s="60"/>
    </row>
    <row r="125" spans="1:3" x14ac:dyDescent="0.25">
      <c r="A125" s="6" t="s">
        <v>113</v>
      </c>
      <c r="B125" s="9">
        <v>6850</v>
      </c>
      <c r="C125" s="60" t="s">
        <v>155</v>
      </c>
    </row>
    <row r="126" spans="1:3" x14ac:dyDescent="0.25">
      <c r="A126" s="8" t="s">
        <v>114</v>
      </c>
      <c r="B126" s="9">
        <v>350</v>
      </c>
      <c r="C126" s="60" t="s">
        <v>7</v>
      </c>
    </row>
    <row r="127" spans="1:3" x14ac:dyDescent="0.25">
      <c r="A127" s="8" t="s">
        <v>162</v>
      </c>
      <c r="B127" s="9">
        <v>100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11037</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33300</v>
      </c>
      <c r="C135" s="60" t="s">
        <v>155</v>
      </c>
    </row>
    <row r="136" spans="1:3" x14ac:dyDescent="0.25">
      <c r="A136" s="8" t="s">
        <v>122</v>
      </c>
      <c r="B136" s="9">
        <v>62140</v>
      </c>
      <c r="C136" s="60" t="s">
        <v>155</v>
      </c>
    </row>
    <row r="137" spans="1:3" x14ac:dyDescent="0.25">
      <c r="A137" s="8" t="s">
        <v>158</v>
      </c>
      <c r="B137" s="9">
        <v>65777</v>
      </c>
      <c r="C137" s="60" t="s">
        <v>7</v>
      </c>
    </row>
    <row r="138" spans="1:3" x14ac:dyDescent="0.25">
      <c r="A138" s="8" t="s">
        <v>123</v>
      </c>
      <c r="B138" s="9">
        <v>2464</v>
      </c>
      <c r="C138" s="60" t="s">
        <v>155</v>
      </c>
    </row>
    <row r="139" spans="1:3" x14ac:dyDescent="0.25">
      <c r="A139" s="8" t="s">
        <v>124</v>
      </c>
      <c r="B139" s="9">
        <v>3100</v>
      </c>
      <c r="C139" s="60" t="s">
        <v>7</v>
      </c>
    </row>
    <row r="140" spans="1:3" x14ac:dyDescent="0.25">
      <c r="A140" s="8" t="s">
        <v>125</v>
      </c>
      <c r="B140" s="9">
        <v>1200</v>
      </c>
      <c r="C140" s="60" t="s">
        <v>7</v>
      </c>
    </row>
    <row r="141" spans="1:3" x14ac:dyDescent="0.25">
      <c r="A141" s="8" t="s">
        <v>164</v>
      </c>
      <c r="B141" s="9">
        <v>128</v>
      </c>
      <c r="C141" s="60" t="s">
        <v>7</v>
      </c>
    </row>
    <row r="142" spans="1:3" x14ac:dyDescent="0.25">
      <c r="A142" s="8" t="s">
        <v>126</v>
      </c>
      <c r="B142" s="9">
        <v>1700</v>
      </c>
      <c r="C142" s="60" t="s">
        <v>155</v>
      </c>
    </row>
    <row r="143" spans="1:3" x14ac:dyDescent="0.25">
      <c r="A143" s="8" t="s">
        <v>127</v>
      </c>
      <c r="B143" s="9">
        <v>1600</v>
      </c>
      <c r="C143" s="60" t="s">
        <v>7</v>
      </c>
    </row>
    <row r="144" spans="1:3" x14ac:dyDescent="0.25">
      <c r="A144" s="8" t="s">
        <v>128</v>
      </c>
      <c r="B144" s="9">
        <v>400</v>
      </c>
      <c r="C144" s="60" t="s">
        <v>155</v>
      </c>
    </row>
    <row r="145" spans="1:3" ht="15.75" thickBot="1" x14ac:dyDescent="0.3">
      <c r="A145" s="17" t="s">
        <v>129</v>
      </c>
      <c r="B145" s="9">
        <v>839</v>
      </c>
      <c r="C145" s="60" t="s">
        <v>159</v>
      </c>
    </row>
    <row r="146" spans="1:3" ht="15.75" thickBot="1" x14ac:dyDescent="0.3">
      <c r="A146" s="47" t="s">
        <v>152</v>
      </c>
      <c r="B146" s="72">
        <v>1985</v>
      </c>
      <c r="C146" s="60" t="s">
        <v>8</v>
      </c>
    </row>
    <row r="147" spans="1:3" ht="15.75" thickBot="1" x14ac:dyDescent="0.3">
      <c r="A147" s="48" t="s">
        <v>130</v>
      </c>
      <c r="B147" s="72">
        <v>3700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800</v>
      </c>
      <c r="C154" s="60" t="s">
        <v>8</v>
      </c>
    </row>
    <row r="155" spans="1:3" ht="16.5" thickBot="1" x14ac:dyDescent="0.3">
      <c r="A155" s="29" t="s">
        <v>136</v>
      </c>
      <c r="B155" s="30">
        <v>2820395</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4000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35127</v>
      </c>
      <c r="C163" s="60" t="s">
        <v>159</v>
      </c>
    </row>
    <row r="164" spans="1:3" x14ac:dyDescent="0.25">
      <c r="A164" s="21" t="s">
        <v>142</v>
      </c>
      <c r="B164" s="2">
        <v>2449</v>
      </c>
      <c r="C164" s="60" t="s">
        <v>204</v>
      </c>
    </row>
    <row r="165" spans="1:3" x14ac:dyDescent="0.25">
      <c r="A165" s="21" t="s">
        <v>176</v>
      </c>
      <c r="B165" s="2">
        <v>35</v>
      </c>
      <c r="C165" s="60" t="s">
        <v>8</v>
      </c>
    </row>
    <row r="166" spans="1:3" x14ac:dyDescent="0.25">
      <c r="A166" s="19" t="s">
        <v>143</v>
      </c>
      <c r="B166" s="2">
        <v>600</v>
      </c>
      <c r="C166" s="60" t="s">
        <v>8</v>
      </c>
    </row>
    <row r="167" spans="1:3" x14ac:dyDescent="0.25">
      <c r="A167" s="22" t="s">
        <v>144</v>
      </c>
      <c r="B167" s="2">
        <v>22700</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94992</v>
      </c>
      <c r="C171" s="61"/>
    </row>
    <row r="172" spans="1:3" ht="16.5" thickBot="1" x14ac:dyDescent="0.3">
      <c r="A172" s="34" t="s">
        <v>148</v>
      </c>
      <c r="B172" s="35">
        <v>2915387</v>
      </c>
      <c r="C172" s="62"/>
    </row>
    <row r="173" spans="1:3" x14ac:dyDescent="0.25">
      <c r="B173" s="147" t="s">
        <v>179</v>
      </c>
      <c r="C173" s="147"/>
    </row>
    <row r="174" spans="1:3" x14ac:dyDescent="0.25">
      <c r="B174" s="147" t="s">
        <v>181</v>
      </c>
      <c r="C174" s="147"/>
    </row>
    <row r="175" spans="1:3" x14ac:dyDescent="0.25">
      <c r="B175" s="147"/>
      <c r="C175" s="147"/>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opLeftCell="B157" zoomScale="120" zoomScaleNormal="120" workbookViewId="0">
      <selection activeCell="B174" sqref="B174"/>
    </sheetView>
  </sheetViews>
  <sheetFormatPr defaultRowHeight="15" x14ac:dyDescent="0.25"/>
  <cols>
    <col min="1" max="1" width="0.85546875" hidden="1" customWidth="1"/>
    <col min="2" max="2" width="47.42578125" customWidth="1"/>
    <col min="3" max="3" width="11.42578125" customWidth="1"/>
    <col min="4" max="4" width="9.1406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44" t="s">
        <v>0</v>
      </c>
      <c r="C2" s="144"/>
      <c r="D2" s="144"/>
      <c r="E2" s="144"/>
      <c r="F2" s="144"/>
      <c r="G2" s="144"/>
      <c r="H2" s="144"/>
    </row>
    <row r="3" spans="2:11" x14ac:dyDescent="0.25">
      <c r="B3" s="145" t="s">
        <v>217</v>
      </c>
      <c r="C3" s="145"/>
      <c r="D3" s="145"/>
      <c r="E3" s="145"/>
      <c r="F3" s="145"/>
      <c r="G3" s="145"/>
      <c r="H3" s="145"/>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109">
        <f>2155096+335323+29000+C22+C29+70000+2965+13592+3162+31770</f>
        <v>2726232</v>
      </c>
      <c r="D7" s="109"/>
      <c r="E7" s="7"/>
      <c r="F7" s="64"/>
      <c r="G7" s="64"/>
      <c r="H7" s="2">
        <f>SUM(C7:G7)</f>
        <v>2726232</v>
      </c>
    </row>
    <row r="8" spans="2:11" x14ac:dyDescent="0.25">
      <c r="B8" s="8" t="s">
        <v>10</v>
      </c>
      <c r="C8" s="73">
        <f>28311+2392</f>
        <v>30703</v>
      </c>
      <c r="D8" s="73"/>
      <c r="E8" s="9"/>
      <c r="F8" s="64"/>
      <c r="G8" s="64"/>
      <c r="H8" s="2">
        <f t="shared" ref="H8:H13" si="0">SUM(C8:G8)</f>
        <v>30703</v>
      </c>
    </row>
    <row r="9" spans="2:11" x14ac:dyDescent="0.25">
      <c r="B9" s="8" t="s">
        <v>195</v>
      </c>
      <c r="C9" s="9"/>
      <c r="D9" s="9"/>
      <c r="E9" s="9">
        <f>54750+2000+2500+530+750+670-3000-930-1070+550+1775+2000+6860</f>
        <v>67385</v>
      </c>
      <c r="F9" s="64"/>
      <c r="G9" s="64"/>
      <c r="H9" s="2">
        <f t="shared" si="0"/>
        <v>67385</v>
      </c>
    </row>
    <row r="10" spans="2:11" x14ac:dyDescent="0.25">
      <c r="B10" s="8" t="s">
        <v>169</v>
      </c>
      <c r="C10" s="9">
        <f>2527</f>
        <v>2527</v>
      </c>
      <c r="D10" s="9"/>
      <c r="E10" s="9">
        <f>4500+3000+250+900</f>
        <v>8650</v>
      </c>
      <c r="F10" s="64"/>
      <c r="G10" s="64"/>
      <c r="H10" s="2">
        <f t="shared" si="0"/>
        <v>11177</v>
      </c>
    </row>
    <row r="11" spans="2:11" x14ac:dyDescent="0.25">
      <c r="B11" s="8" t="s">
        <v>170</v>
      </c>
      <c r="C11" s="9"/>
      <c r="D11" s="102">
        <f>80011+700+4000+48410</f>
        <v>133121</v>
      </c>
      <c r="E11" s="9"/>
      <c r="F11" s="64">
        <f>729+4000+1870</f>
        <v>6599</v>
      </c>
      <c r="G11" s="64"/>
      <c r="H11" s="2">
        <f>SUM(C11:G11)</f>
        <v>139720</v>
      </c>
    </row>
    <row r="12" spans="2:11" x14ac:dyDescent="0.25">
      <c r="B12" s="8" t="s">
        <v>196</v>
      </c>
      <c r="C12" s="9"/>
      <c r="D12" s="102">
        <v>8323</v>
      </c>
      <c r="E12" s="9"/>
      <c r="F12" s="64">
        <f>500+181</f>
        <v>681</v>
      </c>
      <c r="G12" s="64"/>
      <c r="H12" s="2">
        <f t="shared" si="0"/>
        <v>9004</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2762073</v>
      </c>
      <c r="D15" s="30">
        <f>SUM(D7:D14)</f>
        <v>141444</v>
      </c>
      <c r="E15" s="30">
        <f>SUM(E7:E14)</f>
        <v>81685</v>
      </c>
      <c r="F15" s="30">
        <f t="shared" ref="F15:G15" si="1">SUM(F7:F14)</f>
        <v>7280</v>
      </c>
      <c r="G15" s="30">
        <f t="shared" si="1"/>
        <v>3085</v>
      </c>
      <c r="H15" s="30">
        <f>SUM(H7:H14)</f>
        <v>2995567</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45">
        <f>80+5678</f>
        <v>5758</v>
      </c>
      <c r="E19" s="45">
        <f>22550-550+3000</f>
        <v>25000</v>
      </c>
      <c r="F19" s="45">
        <v>181</v>
      </c>
      <c r="G19" s="45">
        <v>288</v>
      </c>
      <c r="H19" s="45">
        <f>SUM(C19:G19)</f>
        <v>2284333</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105">
        <f>1800+100+140</f>
        <v>2040</v>
      </c>
      <c r="F21" s="45"/>
      <c r="G21" s="45"/>
      <c r="H21" s="45">
        <f t="shared" si="2"/>
        <v>2040</v>
      </c>
    </row>
    <row r="22" spans="2:10" ht="15.75" thickBot="1" x14ac:dyDescent="0.3">
      <c r="B22" s="41" t="s">
        <v>19</v>
      </c>
      <c r="C22" s="42">
        <f>+C24+C25+C26+C27+C28+C23</f>
        <v>45824</v>
      </c>
      <c r="D22" s="42"/>
      <c r="E22" s="42">
        <f t="shared" ref="E22:G22" si="3">+E24+E25+E26+E27+E28</f>
        <v>2100</v>
      </c>
      <c r="F22" s="42"/>
      <c r="G22" s="42">
        <f t="shared" si="3"/>
        <v>0</v>
      </c>
      <c r="H22" s="42">
        <f>+H23+H24+H25+H26+H27+H28</f>
        <v>47924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
        <f>750+150+500+1200</f>
        <v>2600</v>
      </c>
      <c r="D27" s="1"/>
      <c r="E27" s="1">
        <v>100</v>
      </c>
      <c r="F27" s="1"/>
      <c r="G27" s="9"/>
      <c r="H27" s="7">
        <f t="shared" si="4"/>
        <v>2700</v>
      </c>
    </row>
    <row r="28" spans="2:10" ht="15.75" thickBot="1" x14ac:dyDescent="0.3">
      <c r="B28" s="8" t="s">
        <v>167</v>
      </c>
      <c r="C28" s="74">
        <f>5600+17774-104+2000</f>
        <v>25270</v>
      </c>
      <c r="D28" s="74"/>
      <c r="E28" s="74">
        <v>900</v>
      </c>
      <c r="F28" s="90"/>
      <c r="G28" s="13"/>
      <c r="H28" s="7">
        <f t="shared" si="4"/>
        <v>26170</v>
      </c>
    </row>
    <row r="29" spans="2:10" ht="15.75" thickBot="1" x14ac:dyDescent="0.3">
      <c r="B29" s="41" t="s">
        <v>24</v>
      </c>
      <c r="C29" s="45">
        <f t="shared" ref="C29" si="5">+C30</f>
        <v>39500</v>
      </c>
      <c r="D29" s="45"/>
      <c r="E29" s="45">
        <f>+E30+E31</f>
        <v>535</v>
      </c>
      <c r="F29" s="101"/>
      <c r="G29" s="87"/>
      <c r="H29" s="45">
        <f>H30+H31</f>
        <v>40035</v>
      </c>
    </row>
    <row r="30" spans="2:10" x14ac:dyDescent="0.25">
      <c r="B30" s="10" t="s">
        <v>25</v>
      </c>
      <c r="C30" s="13">
        <f>29500+10000</f>
        <v>39500</v>
      </c>
      <c r="D30" s="37"/>
      <c r="E30" s="98">
        <f>200+25</f>
        <v>225</v>
      </c>
      <c r="F30" s="37"/>
      <c r="G30" s="9"/>
      <c r="H30" s="88">
        <f>SUM(C30:E30)</f>
        <v>39725</v>
      </c>
    </row>
    <row r="31" spans="2:10" x14ac:dyDescent="0.25">
      <c r="B31" s="53" t="s">
        <v>178</v>
      </c>
      <c r="C31" s="9"/>
      <c r="D31" s="9"/>
      <c r="E31" s="9">
        <v>310</v>
      </c>
      <c r="F31" s="9"/>
      <c r="G31" s="9"/>
      <c r="H31" s="9">
        <f>SUM(C31:E31)</f>
        <v>310</v>
      </c>
    </row>
    <row r="32" spans="2:10" ht="15.75" thickBot="1" x14ac:dyDescent="0.3">
      <c r="B32" s="48" t="s">
        <v>26</v>
      </c>
      <c r="C32" s="86">
        <f>SUM(C33:C56)</f>
        <v>105832</v>
      </c>
      <c r="D32" s="86"/>
      <c r="E32" s="86">
        <f t="shared" ref="E32" si="6">SUM(E33:E56)</f>
        <v>11670</v>
      </c>
      <c r="F32" s="86"/>
      <c r="G32" s="86"/>
      <c r="H32" s="86">
        <f>SUM(H33:H56)</f>
        <v>117502</v>
      </c>
    </row>
    <row r="33" spans="2:11" x14ac:dyDescent="0.25">
      <c r="B33" s="53" t="s">
        <v>27</v>
      </c>
      <c r="C33" s="9">
        <v>2000</v>
      </c>
      <c r="D33" s="9"/>
      <c r="E33" s="102">
        <f>200+100+50</f>
        <v>350</v>
      </c>
      <c r="F33" s="9"/>
      <c r="G33" s="9"/>
      <c r="H33" s="9">
        <f>SUM(C33:G33)</f>
        <v>2350</v>
      </c>
    </row>
    <row r="34" spans="2:11" x14ac:dyDescent="0.25">
      <c r="B34" s="53" t="s">
        <v>28</v>
      </c>
      <c r="C34" s="73">
        <f>27392</f>
        <v>27392</v>
      </c>
      <c r="D34" s="73"/>
      <c r="E34" s="73">
        <f>500+250</f>
        <v>750</v>
      </c>
      <c r="F34" s="66"/>
      <c r="G34" s="9"/>
      <c r="H34" s="9">
        <f t="shared" ref="H34:H56" si="7">SUM(C34:G34)</f>
        <v>28142</v>
      </c>
    </row>
    <row r="35" spans="2:11" x14ac:dyDescent="0.25">
      <c r="B35" s="53" t="s">
        <v>29</v>
      </c>
      <c r="C35" s="104">
        <f>11000+1500+1000+2000</f>
        <v>15500</v>
      </c>
      <c r="D35" s="73"/>
      <c r="E35" s="73">
        <f>100+1400</f>
        <v>1500</v>
      </c>
      <c r="F35" s="66"/>
      <c r="G35" s="9"/>
      <c r="H35" s="9">
        <f t="shared" si="7"/>
        <v>17000</v>
      </c>
    </row>
    <row r="36" spans="2:11" x14ac:dyDescent="0.25">
      <c r="B36" s="53" t="s">
        <v>30</v>
      </c>
      <c r="C36" s="73">
        <v>100</v>
      </c>
      <c r="D36" s="73"/>
      <c r="E36" s="9"/>
      <c r="F36" s="9"/>
      <c r="G36" s="9"/>
      <c r="H36" s="9">
        <f t="shared" si="7"/>
        <v>100</v>
      </c>
    </row>
    <row r="37" spans="2:11" x14ac:dyDescent="0.25">
      <c r="B37" s="53" t="s">
        <v>31</v>
      </c>
      <c r="C37" s="73">
        <f>21000+2000</f>
        <v>23000</v>
      </c>
      <c r="D37" s="73"/>
      <c r="E37" s="66">
        <f>2500+1600+350</f>
        <v>4450</v>
      </c>
      <c r="F37" s="66"/>
      <c r="G37" s="9"/>
      <c r="H37" s="9">
        <f t="shared" si="7"/>
        <v>27450</v>
      </c>
    </row>
    <row r="38" spans="2:11" x14ac:dyDescent="0.25">
      <c r="B38" s="53" t="s">
        <v>32</v>
      </c>
      <c r="C38" s="104">
        <f>6540-200+800</f>
        <v>7140</v>
      </c>
      <c r="D38" s="73"/>
      <c r="E38" s="104">
        <f>120+60</f>
        <v>180</v>
      </c>
      <c r="F38" s="9"/>
      <c r="G38" s="9"/>
      <c r="H38" s="9">
        <f t="shared" si="7"/>
        <v>7320</v>
      </c>
      <c r="K38" s="56"/>
    </row>
    <row r="39" spans="2:11" x14ac:dyDescent="0.25">
      <c r="B39" s="53" t="s">
        <v>33</v>
      </c>
      <c r="C39" s="102">
        <f>500-50+100+50</f>
        <v>600</v>
      </c>
      <c r="D39" s="9"/>
      <c r="E39" s="9"/>
      <c r="F39" s="9"/>
      <c r="G39" s="9"/>
      <c r="H39" s="9">
        <f t="shared" si="7"/>
        <v>600</v>
      </c>
    </row>
    <row r="40" spans="2:11" x14ac:dyDescent="0.25">
      <c r="B40" s="53" t="s">
        <v>34</v>
      </c>
      <c r="C40" s="9">
        <f>550-50-50</f>
        <v>450</v>
      </c>
      <c r="D40" s="9"/>
      <c r="E40" s="9"/>
      <c r="F40" s="9"/>
      <c r="G40" s="9"/>
      <c r="H40" s="9">
        <f t="shared" si="7"/>
        <v>450</v>
      </c>
    </row>
    <row r="41" spans="2:11" x14ac:dyDescent="0.25">
      <c r="B41" s="53" t="s">
        <v>35</v>
      </c>
      <c r="C41" s="102">
        <f>6000-800+200+1700</f>
        <v>7100</v>
      </c>
      <c r="D41" s="9"/>
      <c r="E41" s="9"/>
      <c r="F41" s="9"/>
      <c r="G41" s="9"/>
      <c r="H41" s="9">
        <f t="shared" si="7"/>
        <v>7100</v>
      </c>
    </row>
    <row r="42" spans="2:11" x14ac:dyDescent="0.25">
      <c r="B42" s="53" t="s">
        <v>36</v>
      </c>
      <c r="C42" s="102">
        <f>3600+550+2200</f>
        <v>6350</v>
      </c>
      <c r="D42" s="9"/>
      <c r="E42" s="73">
        <f>3600-550</f>
        <v>3050</v>
      </c>
      <c r="F42" s="9"/>
      <c r="G42" s="9"/>
      <c r="H42" s="9">
        <f t="shared" si="7"/>
        <v>9400</v>
      </c>
    </row>
    <row r="43" spans="2:11" x14ac:dyDescent="0.25">
      <c r="B43" s="53" t="s">
        <v>37</v>
      </c>
      <c r="C43" s="9">
        <f>6600-1000-600</f>
        <v>5000</v>
      </c>
      <c r="D43" s="9"/>
      <c r="E43" s="9"/>
      <c r="F43" s="9"/>
      <c r="G43" s="9"/>
      <c r="H43" s="9">
        <f t="shared" si="7"/>
        <v>5000</v>
      </c>
    </row>
    <row r="44" spans="2:11" x14ac:dyDescent="0.25">
      <c r="B44" s="53" t="s">
        <v>38</v>
      </c>
      <c r="C44" s="9">
        <f>2700</f>
        <v>2700</v>
      </c>
      <c r="D44" s="9"/>
      <c r="E44" s="9"/>
      <c r="F44" s="9"/>
      <c r="G44" s="9"/>
      <c r="H44" s="9">
        <f t="shared" si="7"/>
        <v>2700</v>
      </c>
    </row>
    <row r="45" spans="2:11" x14ac:dyDescent="0.25">
      <c r="B45" s="53" t="s">
        <v>39</v>
      </c>
      <c r="C45" s="102">
        <f>1500-100</f>
        <v>1400</v>
      </c>
      <c r="D45" s="9"/>
      <c r="E45" s="9"/>
      <c r="F45" s="9"/>
      <c r="G45" s="9"/>
      <c r="H45" s="9">
        <f t="shared" si="7"/>
        <v>1400</v>
      </c>
    </row>
    <row r="46" spans="2:11" x14ac:dyDescent="0.25">
      <c r="B46" s="53" t="s">
        <v>40</v>
      </c>
      <c r="C46" s="9"/>
      <c r="D46" s="9"/>
      <c r="E46" s="9"/>
      <c r="F46" s="9"/>
      <c r="G46" s="9"/>
      <c r="H46" s="9">
        <f t="shared" si="7"/>
        <v>0</v>
      </c>
    </row>
    <row r="47" spans="2:11" x14ac:dyDescent="0.25">
      <c r="B47" s="53" t="s">
        <v>41</v>
      </c>
      <c r="C47" s="102">
        <f>600+100-50</f>
        <v>650</v>
      </c>
      <c r="D47" s="9"/>
      <c r="E47" s="9">
        <v>50</v>
      </c>
      <c r="F47" s="9"/>
      <c r="G47" s="9"/>
      <c r="H47" s="9">
        <f t="shared" si="7"/>
        <v>700</v>
      </c>
    </row>
    <row r="48" spans="2:11" x14ac:dyDescent="0.25">
      <c r="B48" s="53" t="s">
        <v>42</v>
      </c>
      <c r="C48" s="102">
        <f>350+150</f>
        <v>500</v>
      </c>
      <c r="D48" s="9"/>
      <c r="E48" s="9"/>
      <c r="F48" s="9"/>
      <c r="G48" s="9"/>
      <c r="H48" s="9">
        <f t="shared" si="7"/>
        <v>500</v>
      </c>
    </row>
    <row r="49" spans="2:8" x14ac:dyDescent="0.25">
      <c r="B49" s="53" t="s">
        <v>43</v>
      </c>
      <c r="C49" s="102">
        <f>550+50</f>
        <v>600</v>
      </c>
      <c r="D49" s="9"/>
      <c r="E49" s="9"/>
      <c r="F49" s="9"/>
      <c r="G49" s="9"/>
      <c r="H49" s="9">
        <f t="shared" si="7"/>
        <v>600</v>
      </c>
    </row>
    <row r="50" spans="2:8" x14ac:dyDescent="0.25">
      <c r="B50" s="53" t="s">
        <v>44</v>
      </c>
      <c r="C50" s="9">
        <f>3800</f>
        <v>3800</v>
      </c>
      <c r="D50" s="9"/>
      <c r="E50" s="9"/>
      <c r="F50" s="9"/>
      <c r="G50" s="9"/>
      <c r="H50" s="9">
        <f t="shared" si="7"/>
        <v>3800</v>
      </c>
    </row>
    <row r="51" spans="2:8" x14ac:dyDescent="0.25">
      <c r="B51" s="53" t="s">
        <v>45</v>
      </c>
      <c r="C51" s="102">
        <f>1200+350</f>
        <v>1550</v>
      </c>
      <c r="D51" s="9"/>
      <c r="E51" s="9"/>
      <c r="F51" s="9"/>
      <c r="G51" s="9"/>
      <c r="H51" s="9">
        <f t="shared" si="7"/>
        <v>1550</v>
      </c>
    </row>
    <row r="52" spans="2:8" x14ac:dyDescent="0.25">
      <c r="B52" s="53" t="s">
        <v>46</v>
      </c>
      <c r="C52" s="9"/>
      <c r="D52" s="9"/>
      <c r="E52" s="9">
        <v>280</v>
      </c>
      <c r="F52" s="9"/>
      <c r="G52" s="9"/>
      <c r="H52" s="9">
        <f t="shared" si="7"/>
        <v>280</v>
      </c>
    </row>
    <row r="53" spans="2:8" x14ac:dyDescent="0.25">
      <c r="B53" s="53" t="s">
        <v>153</v>
      </c>
      <c r="C53" s="9"/>
      <c r="D53" s="9"/>
      <c r="E53" s="9">
        <f>110+30+220</f>
        <v>360</v>
      </c>
      <c r="F53" s="9"/>
      <c r="G53" s="9"/>
      <c r="H53" s="9">
        <f t="shared" si="7"/>
        <v>360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1376</v>
      </c>
      <c r="F57" s="42"/>
      <c r="G57" s="42"/>
      <c r="H57" s="44">
        <f>SUM(H58:H66)</f>
        <v>1376</v>
      </c>
    </row>
    <row r="58" spans="2:8" x14ac:dyDescent="0.25">
      <c r="B58" s="4" t="s">
        <v>51</v>
      </c>
      <c r="C58" s="7"/>
      <c r="D58" s="7"/>
      <c r="E58" s="7">
        <v>0</v>
      </c>
      <c r="F58" s="7"/>
      <c r="G58" s="7"/>
      <c r="H58" s="7">
        <f>SUM(C58:G58)</f>
        <v>0</v>
      </c>
    </row>
    <row r="59" spans="2:8" x14ac:dyDescent="0.25">
      <c r="B59" s="8" t="s">
        <v>52</v>
      </c>
      <c r="C59" s="9"/>
      <c r="D59" s="9"/>
      <c r="E59" s="9">
        <v>100</v>
      </c>
      <c r="F59" s="9"/>
      <c r="G59" s="9"/>
      <c r="H59" s="7">
        <f t="shared" ref="H59:H66" si="9">SUM(C59:G59)</f>
        <v>100</v>
      </c>
    </row>
    <row r="60" spans="2:8" x14ac:dyDescent="0.25">
      <c r="B60" s="8" t="s">
        <v>53</v>
      </c>
      <c r="C60" s="9"/>
      <c r="D60" s="9"/>
      <c r="E60" s="102">
        <f>600+100</f>
        <v>700</v>
      </c>
      <c r="F60" s="9"/>
      <c r="G60" s="9"/>
      <c r="H60" s="7">
        <f t="shared" si="9"/>
        <v>700</v>
      </c>
    </row>
    <row r="61" spans="2:8" x14ac:dyDescent="0.25">
      <c r="B61" s="8" t="s">
        <v>54</v>
      </c>
      <c r="C61" s="9"/>
      <c r="D61" s="9"/>
      <c r="E61" s="9">
        <v>50</v>
      </c>
      <c r="F61" s="9"/>
      <c r="G61" s="9"/>
      <c r="H61" s="7">
        <f t="shared" si="9"/>
        <v>50</v>
      </c>
    </row>
    <row r="62" spans="2:8" x14ac:dyDescent="0.25">
      <c r="B62" s="8" t="s">
        <v>55</v>
      </c>
      <c r="C62" s="9"/>
      <c r="D62" s="9"/>
      <c r="E62" s="102">
        <f>100-50</f>
        <v>50</v>
      </c>
      <c r="F62" s="9"/>
      <c r="G62" s="9"/>
      <c r="H62" s="7">
        <f t="shared" si="9"/>
        <v>50</v>
      </c>
    </row>
    <row r="63" spans="2:8" x14ac:dyDescent="0.25">
      <c r="B63" s="8" t="s">
        <v>56</v>
      </c>
      <c r="C63" s="9"/>
      <c r="D63" s="9"/>
      <c r="E63" s="9">
        <v>100</v>
      </c>
      <c r="F63" s="9"/>
      <c r="G63" s="9"/>
      <c r="H63" s="7">
        <f t="shared" si="9"/>
        <v>100</v>
      </c>
    </row>
    <row r="64" spans="2:8" x14ac:dyDescent="0.25">
      <c r="B64" s="8" t="s">
        <v>57</v>
      </c>
      <c r="C64" s="9"/>
      <c r="D64" s="9"/>
      <c r="E64" s="9">
        <v>100</v>
      </c>
      <c r="F64" s="9"/>
      <c r="G64" s="9"/>
      <c r="H64" s="7">
        <f t="shared" si="9"/>
        <v>100</v>
      </c>
    </row>
    <row r="65" spans="2:8" x14ac:dyDescent="0.25">
      <c r="B65" s="8" t="s">
        <v>58</v>
      </c>
      <c r="C65" s="9"/>
      <c r="D65" s="9"/>
      <c r="E65" s="102">
        <f>50-50</f>
        <v>0</v>
      </c>
      <c r="F65" s="9"/>
      <c r="G65" s="9"/>
      <c r="H65" s="7">
        <f t="shared" si="9"/>
        <v>0</v>
      </c>
    </row>
    <row r="66" spans="2:8" ht="15.75" thickBot="1" x14ac:dyDescent="0.3">
      <c r="B66" s="12" t="s">
        <v>59</v>
      </c>
      <c r="C66" s="1"/>
      <c r="D66" s="1"/>
      <c r="E66" s="1">
        <f>76+200</f>
        <v>276</v>
      </c>
      <c r="F66" s="1"/>
      <c r="G66" s="1"/>
      <c r="H66" s="7">
        <f t="shared" si="9"/>
        <v>276</v>
      </c>
    </row>
    <row r="67" spans="2:8" ht="15.75" thickBot="1" x14ac:dyDescent="0.3">
      <c r="B67" s="41" t="s">
        <v>60</v>
      </c>
      <c r="C67" s="42">
        <f>SUM(C68:C91)</f>
        <v>19497</v>
      </c>
      <c r="D67" s="42">
        <f>SUM(D68:D91)</f>
        <v>2662</v>
      </c>
      <c r="E67" s="42">
        <f>SUM(E68:E91)</f>
        <v>10394</v>
      </c>
      <c r="F67" s="42"/>
      <c r="G67" s="42"/>
      <c r="H67" s="44">
        <f>SUM(H68:H91)</f>
        <v>32553</v>
      </c>
    </row>
    <row r="68" spans="2:8" x14ac:dyDescent="0.25">
      <c r="B68" s="14" t="s">
        <v>165</v>
      </c>
      <c r="C68" s="7"/>
      <c r="D68" s="7"/>
      <c r="E68" s="124">
        <f>300-300</f>
        <v>0</v>
      </c>
      <c r="F68" s="64"/>
      <c r="G68" s="64"/>
      <c r="H68" s="2">
        <f t="shared" ref="H68:H91" si="10">SUM(C68:G68)</f>
        <v>0</v>
      </c>
    </row>
    <row r="69" spans="2:8" x14ac:dyDescent="0.25">
      <c r="B69" s="14" t="s">
        <v>61</v>
      </c>
      <c r="C69" s="7"/>
      <c r="D69" s="7"/>
      <c r="E69" s="124">
        <f>300+250+50-300</f>
        <v>300</v>
      </c>
      <c r="F69" s="64"/>
      <c r="G69" s="64"/>
      <c r="H69" s="2">
        <f t="shared" si="10"/>
        <v>300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104">
        <f>7500-2700+700</f>
        <v>5500</v>
      </c>
      <c r="D72" s="73"/>
      <c r="E72" s="9"/>
      <c r="F72" s="64"/>
      <c r="G72" s="64"/>
      <c r="H72" s="2">
        <f t="shared" si="10"/>
        <v>5500</v>
      </c>
    </row>
    <row r="73" spans="2:8" x14ac:dyDescent="0.25">
      <c r="B73" s="8" t="s">
        <v>65</v>
      </c>
      <c r="C73" s="9"/>
      <c r="D73" s="9"/>
      <c r="E73" s="66">
        <f>200+100+150</f>
        <v>450</v>
      </c>
      <c r="F73" s="96"/>
      <c r="G73" s="64"/>
      <c r="H73" s="2">
        <f t="shared" si="10"/>
        <v>450</v>
      </c>
    </row>
    <row r="74" spans="2:8" x14ac:dyDescent="0.25">
      <c r="B74" s="8" t="s">
        <v>66</v>
      </c>
      <c r="C74" s="9">
        <f>4800-500</f>
        <v>4300</v>
      </c>
      <c r="D74" s="9"/>
      <c r="E74" s="73">
        <f>450+250+550+700</f>
        <v>1950</v>
      </c>
      <c r="F74" s="97"/>
      <c r="G74" s="64"/>
      <c r="H74" s="2">
        <f t="shared" si="10"/>
        <v>6250</v>
      </c>
    </row>
    <row r="75" spans="2:8" x14ac:dyDescent="0.25">
      <c r="B75" s="8" t="s">
        <v>67</v>
      </c>
      <c r="C75" s="9"/>
      <c r="D75" s="9"/>
      <c r="E75" s="102">
        <f>400-150-50+100</f>
        <v>300</v>
      </c>
      <c r="F75" s="64"/>
      <c r="G75" s="64"/>
      <c r="H75" s="2">
        <f t="shared" si="10"/>
        <v>300</v>
      </c>
    </row>
    <row r="76" spans="2:8" x14ac:dyDescent="0.25">
      <c r="B76" s="8" t="s">
        <v>68</v>
      </c>
      <c r="C76" s="9"/>
      <c r="D76" s="9"/>
      <c r="E76" s="9">
        <f>100-100</f>
        <v>0</v>
      </c>
      <c r="F76" s="64"/>
      <c r="G76" s="64"/>
      <c r="H76" s="2">
        <f t="shared" si="10"/>
        <v>0</v>
      </c>
    </row>
    <row r="77" spans="2:8" x14ac:dyDescent="0.25">
      <c r="B77" s="8" t="s">
        <v>69</v>
      </c>
      <c r="C77" s="9"/>
      <c r="D77" s="9"/>
      <c r="E77" s="9">
        <v>70</v>
      </c>
      <c r="F77" s="64"/>
      <c r="G77" s="64"/>
      <c r="H77" s="2">
        <f t="shared" si="10"/>
        <v>70</v>
      </c>
    </row>
    <row r="78" spans="2:8" x14ac:dyDescent="0.25">
      <c r="B78" s="8" t="s">
        <v>70</v>
      </c>
      <c r="C78" s="9"/>
      <c r="D78" s="9">
        <v>970</v>
      </c>
      <c r="E78" s="9">
        <v>230</v>
      </c>
      <c r="F78" s="64"/>
      <c r="G78" s="64"/>
      <c r="H78" s="2">
        <f t="shared" si="10"/>
        <v>1200</v>
      </c>
    </row>
    <row r="79" spans="2:8" x14ac:dyDescent="0.25">
      <c r="B79" s="8" t="s">
        <v>71</v>
      </c>
      <c r="C79" s="9"/>
      <c r="D79" s="9"/>
      <c r="E79" s="9">
        <f>100+50</f>
        <v>150</v>
      </c>
      <c r="F79" s="64"/>
      <c r="G79" s="64"/>
      <c r="H79" s="2">
        <f t="shared" si="10"/>
        <v>150</v>
      </c>
    </row>
    <row r="80" spans="2:8" x14ac:dyDescent="0.25">
      <c r="B80" s="8" t="s">
        <v>72</v>
      </c>
      <c r="C80" s="9">
        <f>200-50</f>
        <v>150</v>
      </c>
      <c r="D80" s="9"/>
      <c r="E80" s="9"/>
      <c r="F80" s="64"/>
      <c r="G80" s="64"/>
      <c r="H80" s="2">
        <f t="shared" si="10"/>
        <v>150</v>
      </c>
    </row>
    <row r="81" spans="2:8" x14ac:dyDescent="0.25">
      <c r="B81" s="8" t="s">
        <v>73</v>
      </c>
      <c r="C81" s="9"/>
      <c r="D81" s="9">
        <f>60+100</f>
        <v>160</v>
      </c>
      <c r="E81" s="9">
        <v>600</v>
      </c>
      <c r="F81" s="64"/>
      <c r="G81" s="64"/>
      <c r="H81" s="2">
        <f t="shared" si="10"/>
        <v>760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102">
        <f>1000+50</f>
        <v>1050</v>
      </c>
      <c r="F84" s="64"/>
      <c r="G84" s="64"/>
      <c r="H84" s="2">
        <f t="shared" si="10"/>
        <v>1050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102">
        <f>5200+500+400-53</f>
        <v>6047</v>
      </c>
      <c r="D88" s="9"/>
      <c r="E88" s="9"/>
      <c r="F88" s="64"/>
      <c r="G88" s="64"/>
      <c r="H88" s="2">
        <f t="shared" si="10"/>
        <v>6047</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
        <f>60+1472</f>
        <v>1532</v>
      </c>
      <c r="E91" s="1">
        <f>1800-280+100</f>
        <v>1620</v>
      </c>
      <c r="F91" s="37"/>
      <c r="G91" s="37"/>
      <c r="H91" s="2">
        <f t="shared" si="10"/>
        <v>3152</v>
      </c>
    </row>
    <row r="92" spans="2:8" ht="15.75" thickBot="1" x14ac:dyDescent="0.3">
      <c r="B92" s="41" t="s">
        <v>84</v>
      </c>
      <c r="C92" s="45">
        <f>SUM(C93:C98)</f>
        <v>1650</v>
      </c>
      <c r="D92" s="45"/>
      <c r="E92" s="45">
        <f t="shared" ref="E92:G92" si="11">SUM(E93:E98)</f>
        <v>9100</v>
      </c>
      <c r="F92" s="45">
        <f t="shared" si="11"/>
        <v>1870</v>
      </c>
      <c r="G92" s="45">
        <f t="shared" si="11"/>
        <v>0</v>
      </c>
      <c r="H92" s="45">
        <f>SUM(H93:H98)</f>
        <v>12620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9">
        <f>2000+800+1000-500-500</f>
        <v>2800</v>
      </c>
      <c r="F95" s="64"/>
      <c r="G95" s="64"/>
      <c r="H95" s="9">
        <f t="shared" si="12"/>
        <v>2800</v>
      </c>
    </row>
    <row r="96" spans="2:8" x14ac:dyDescent="0.25">
      <c r="B96" s="8" t="s">
        <v>87</v>
      </c>
      <c r="C96" s="9">
        <v>1000</v>
      </c>
      <c r="D96" s="9"/>
      <c r="E96" s="9">
        <f>200+300+500+2000-500</f>
        <v>2500</v>
      </c>
      <c r="F96" s="64"/>
      <c r="G96" s="64"/>
      <c r="H96" s="9">
        <f t="shared" si="12"/>
        <v>3500</v>
      </c>
    </row>
    <row r="97" spans="2:8" x14ac:dyDescent="0.25">
      <c r="B97" s="8" t="s">
        <v>88</v>
      </c>
      <c r="C97" s="9"/>
      <c r="D97" s="9"/>
      <c r="E97" s="9">
        <v>50</v>
      </c>
      <c r="F97" s="64"/>
      <c r="G97" s="64"/>
      <c r="H97" s="9">
        <f t="shared" si="12"/>
        <v>50</v>
      </c>
    </row>
    <row r="98" spans="2:8" ht="15.75" thickBot="1" x14ac:dyDescent="0.3">
      <c r="B98" s="12" t="s">
        <v>89</v>
      </c>
      <c r="C98" s="1"/>
      <c r="D98" s="1"/>
      <c r="E98" s="93">
        <f>3500-500+500+200</f>
        <v>3700</v>
      </c>
      <c r="F98" s="98">
        <v>1870</v>
      </c>
      <c r="G98" s="37"/>
      <c r="H98" s="2">
        <f t="shared" si="12"/>
        <v>5570</v>
      </c>
    </row>
    <row r="99" spans="2:8" ht="15.75" thickBot="1" x14ac:dyDescent="0.3">
      <c r="B99" s="41" t="s">
        <v>90</v>
      </c>
      <c r="C99" s="45">
        <f>SUM(C100:C123)</f>
        <v>30380</v>
      </c>
      <c r="D99" s="45"/>
      <c r="E99" s="45">
        <f t="shared" ref="E99:H99" si="13">SUM(E100:E123)</f>
        <v>2060</v>
      </c>
      <c r="F99" s="45">
        <f>SUM(F100:F123)</f>
        <v>500</v>
      </c>
      <c r="G99" s="45">
        <f t="shared" si="13"/>
        <v>0</v>
      </c>
      <c r="H99" s="45">
        <f t="shared" si="13"/>
        <v>32940</v>
      </c>
    </row>
    <row r="100" spans="2:8" x14ac:dyDescent="0.25">
      <c r="B100" s="6" t="s">
        <v>91</v>
      </c>
      <c r="C100" s="126">
        <f>800-600+800</f>
        <v>1000</v>
      </c>
      <c r="D100" s="75"/>
      <c r="E100" s="7"/>
      <c r="F100" s="7"/>
      <c r="G100" s="7"/>
      <c r="H100" s="9">
        <f>SUM(C100:G100)</f>
        <v>1000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73">
        <f>200+100</f>
        <v>300</v>
      </c>
      <c r="D103" s="73"/>
      <c r="E103" s="9"/>
      <c r="F103" s="9"/>
      <c r="G103" s="9"/>
      <c r="H103" s="9">
        <f t="shared" si="14"/>
        <v>300</v>
      </c>
    </row>
    <row r="104" spans="2:8" x14ac:dyDescent="0.25">
      <c r="B104" s="8" t="s">
        <v>94</v>
      </c>
      <c r="C104" s="104">
        <f>800+400+320</f>
        <v>1520</v>
      </c>
      <c r="D104" s="73"/>
      <c r="E104" s="9"/>
      <c r="F104" s="9"/>
      <c r="G104" s="9"/>
      <c r="H104" s="9">
        <f t="shared" si="14"/>
        <v>1520</v>
      </c>
    </row>
    <row r="105" spans="2:8" x14ac:dyDescent="0.25">
      <c r="B105" s="8" t="s">
        <v>95</v>
      </c>
      <c r="C105" s="104">
        <f>300+100-100+100</f>
        <v>400</v>
      </c>
      <c r="D105" s="73"/>
      <c r="E105" s="9"/>
      <c r="F105" s="9"/>
      <c r="G105" s="9"/>
      <c r="H105" s="9">
        <f t="shared" si="14"/>
        <v>400</v>
      </c>
    </row>
    <row r="106" spans="2:8" x14ac:dyDescent="0.25">
      <c r="B106" s="8" t="s">
        <v>96</v>
      </c>
      <c r="C106" s="104">
        <f>1250+500+600</f>
        <v>2350</v>
      </c>
      <c r="D106" s="73"/>
      <c r="E106" s="9">
        <v>10</v>
      </c>
      <c r="F106" s="9"/>
      <c r="G106" s="9"/>
      <c r="H106" s="9">
        <f t="shared" si="14"/>
        <v>2360</v>
      </c>
    </row>
    <row r="107" spans="2:8" x14ac:dyDescent="0.25">
      <c r="B107" s="8" t="s">
        <v>160</v>
      </c>
      <c r="C107" s="73">
        <v>0</v>
      </c>
      <c r="D107" s="73"/>
      <c r="E107" s="9"/>
      <c r="F107" s="9"/>
      <c r="G107" s="9"/>
      <c r="H107" s="9">
        <f t="shared" si="14"/>
        <v>0</v>
      </c>
    </row>
    <row r="108" spans="2:8" x14ac:dyDescent="0.25">
      <c r="B108" s="8" t="s">
        <v>97</v>
      </c>
      <c r="C108" s="104">
        <f>1200+1100</f>
        <v>2300</v>
      </c>
      <c r="D108" s="73"/>
      <c r="E108" s="9"/>
      <c r="F108" s="9"/>
      <c r="G108" s="9"/>
      <c r="H108" s="9">
        <f t="shared" si="14"/>
        <v>2300</v>
      </c>
    </row>
    <row r="109" spans="2:8" x14ac:dyDescent="0.25">
      <c r="B109" s="8" t="s">
        <v>98</v>
      </c>
      <c r="C109" s="104">
        <f>1200-600+600</f>
        <v>1200</v>
      </c>
      <c r="D109" s="73"/>
      <c r="E109" s="9"/>
      <c r="F109" s="9"/>
      <c r="G109" s="9"/>
      <c r="H109" s="9">
        <f t="shared" si="14"/>
        <v>1200</v>
      </c>
    </row>
    <row r="110" spans="2:8" x14ac:dyDescent="0.25">
      <c r="B110" s="8" t="s">
        <v>99</v>
      </c>
      <c r="C110" s="66">
        <f>5000+1000+1200+600</f>
        <v>7800</v>
      </c>
      <c r="D110" s="9"/>
      <c r="E110" s="9"/>
      <c r="F110" s="9"/>
      <c r="G110" s="9"/>
      <c r="H110" s="9">
        <f t="shared" si="14"/>
        <v>7800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104">
        <f>900+200+600</f>
        <v>1700</v>
      </c>
      <c r="D113" s="73"/>
      <c r="E113" s="9"/>
      <c r="F113" s="9"/>
      <c r="G113" s="9"/>
      <c r="H113" s="9">
        <f t="shared" si="14"/>
        <v>1700</v>
      </c>
    </row>
    <row r="114" spans="2:12" x14ac:dyDescent="0.25">
      <c r="B114" s="8" t="s">
        <v>102</v>
      </c>
      <c r="C114" s="73">
        <v>1200</v>
      </c>
      <c r="D114" s="73"/>
      <c r="E114" s="9"/>
      <c r="F114" s="9"/>
      <c r="G114" s="9"/>
      <c r="H114" s="9">
        <f t="shared" si="14"/>
        <v>1200</v>
      </c>
    </row>
    <row r="115" spans="2:12" x14ac:dyDescent="0.25">
      <c r="B115" s="8" t="s">
        <v>103</v>
      </c>
      <c r="C115" s="104">
        <f>100-100</f>
        <v>0</v>
      </c>
      <c r="D115" s="73"/>
      <c r="E115" s="9"/>
      <c r="F115" s="9"/>
      <c r="G115" s="9"/>
      <c r="H115" s="9">
        <f t="shared" si="14"/>
        <v>0</v>
      </c>
    </row>
    <row r="116" spans="2:12" x14ac:dyDescent="0.25">
      <c r="B116" s="8" t="s">
        <v>104</v>
      </c>
      <c r="C116" s="102">
        <f>500-100</f>
        <v>400</v>
      </c>
      <c r="D116" s="9"/>
      <c r="E116" s="9">
        <f>500+50</f>
        <v>550</v>
      </c>
      <c r="F116" s="9"/>
      <c r="G116" s="9"/>
      <c r="H116" s="9">
        <f t="shared" si="14"/>
        <v>950</v>
      </c>
    </row>
    <row r="117" spans="2:12" x14ac:dyDescent="0.25">
      <c r="B117" s="8" t="s">
        <v>105</v>
      </c>
      <c r="C117" s="73">
        <f>200-100</f>
        <v>100</v>
      </c>
      <c r="D117" s="73"/>
      <c r="E117" s="9"/>
      <c r="F117" s="9"/>
      <c r="G117" s="9"/>
      <c r="H117" s="9">
        <f t="shared" si="14"/>
        <v>100</v>
      </c>
    </row>
    <row r="118" spans="2:12" x14ac:dyDescent="0.25">
      <c r="B118" s="8" t="s">
        <v>106</v>
      </c>
      <c r="C118" s="73">
        <v>1200</v>
      </c>
      <c r="D118" s="73"/>
      <c r="E118" s="9"/>
      <c r="F118" s="9"/>
      <c r="G118" s="9"/>
      <c r="H118" s="9">
        <f t="shared" si="14"/>
        <v>1200</v>
      </c>
    </row>
    <row r="119" spans="2:12" x14ac:dyDescent="0.25">
      <c r="B119" s="8" t="s">
        <v>107</v>
      </c>
      <c r="C119" s="73">
        <f>4100-100-500</f>
        <v>3500</v>
      </c>
      <c r="D119" s="104"/>
      <c r="E119" s="9"/>
      <c r="F119" s="9">
        <v>500</v>
      </c>
      <c r="G119" s="9"/>
      <c r="H119" s="9">
        <f t="shared" si="14"/>
        <v>4000</v>
      </c>
    </row>
    <row r="120" spans="2:12" x14ac:dyDescent="0.25">
      <c r="B120" s="23" t="s">
        <v>108</v>
      </c>
      <c r="C120" s="9">
        <f>1850+340+258+64+120-250-300-82+220-100</f>
        <v>2120</v>
      </c>
      <c r="D120" s="102"/>
      <c r="E120" s="9"/>
      <c r="F120" s="9"/>
      <c r="G120" s="9"/>
      <c r="H120" s="9">
        <f t="shared" si="14"/>
        <v>2120</v>
      </c>
    </row>
    <row r="121" spans="2:12" x14ac:dyDescent="0.25">
      <c r="B121" s="8" t="s">
        <v>109</v>
      </c>
      <c r="C121" s="102">
        <f>900-300</f>
        <v>600</v>
      </c>
      <c r="D121" s="9"/>
      <c r="E121" s="9"/>
      <c r="F121" s="9"/>
      <c r="G121" s="9"/>
      <c r="H121" s="9">
        <f t="shared" si="14"/>
        <v>600</v>
      </c>
    </row>
    <row r="122" spans="2:12" x14ac:dyDescent="0.25">
      <c r="B122" s="8" t="s">
        <v>110</v>
      </c>
      <c r="C122" s="9"/>
      <c r="D122" s="9"/>
      <c r="E122" s="9">
        <f>1200+200</f>
        <v>1400</v>
      </c>
      <c r="F122" s="9"/>
      <c r="G122" s="9"/>
      <c r="H122" s="9">
        <f t="shared" si="14"/>
        <v>1400</v>
      </c>
      <c r="L122" s="56"/>
    </row>
    <row r="123" spans="2:12" ht="15.75" thickBot="1" x14ac:dyDescent="0.3">
      <c r="B123" s="12" t="s">
        <v>111</v>
      </c>
      <c r="C123" s="121">
        <f>800+100+300</f>
        <v>1200</v>
      </c>
      <c r="D123" s="36"/>
      <c r="E123" s="1"/>
      <c r="F123" s="1"/>
      <c r="G123" s="36"/>
      <c r="H123" s="9">
        <f t="shared" si="14"/>
        <v>1200</v>
      </c>
    </row>
    <row r="124" spans="2:12" ht="15.75" thickBot="1" x14ac:dyDescent="0.3">
      <c r="B124" s="41" t="s">
        <v>112</v>
      </c>
      <c r="C124" s="45">
        <f>SUM(C125:C145)</f>
        <v>207985</v>
      </c>
      <c r="D124" s="45">
        <f>SUM(D125:D145)</f>
        <v>5603</v>
      </c>
      <c r="E124" s="45">
        <f t="shared" ref="E124" si="15">SUM(E125:E145)</f>
        <v>6070</v>
      </c>
      <c r="F124" s="45"/>
      <c r="G124" s="45"/>
      <c r="H124" s="45">
        <f>SUM(H125:H145)</f>
        <v>219658</v>
      </c>
      <c r="L124" s="56"/>
    </row>
    <row r="125" spans="2:12" x14ac:dyDescent="0.25">
      <c r="B125" s="6" t="s">
        <v>113</v>
      </c>
      <c r="C125" s="124">
        <f>5700+600+400+2000</f>
        <v>8700</v>
      </c>
      <c r="D125" s="7"/>
      <c r="E125" s="7">
        <v>150</v>
      </c>
      <c r="F125" s="7"/>
      <c r="G125" s="7"/>
      <c r="H125" s="9">
        <f>SUM(C125:G125)</f>
        <v>8850</v>
      </c>
    </row>
    <row r="126" spans="2:12" x14ac:dyDescent="0.25">
      <c r="B126" s="8" t="s">
        <v>114</v>
      </c>
      <c r="C126" s="104">
        <f>350-200</f>
        <v>150</v>
      </c>
      <c r="D126" s="73"/>
      <c r="E126" s="9"/>
      <c r="F126" s="9"/>
      <c r="G126" s="9"/>
      <c r="H126" s="9">
        <f t="shared" ref="H126:H145" si="16">SUM(C126:G126)</f>
        <v>150</v>
      </c>
    </row>
    <row r="127" spans="2:12" x14ac:dyDescent="0.25">
      <c r="B127" s="8" t="s">
        <v>162</v>
      </c>
      <c r="C127" s="104">
        <f>100+1100</f>
        <v>1200</v>
      </c>
      <c r="D127" s="73"/>
      <c r="E127" s="9"/>
      <c r="F127" s="9"/>
      <c r="G127" s="9"/>
      <c r="H127" s="9">
        <f t="shared" si="16"/>
        <v>1200</v>
      </c>
    </row>
    <row r="128" spans="2:12" x14ac:dyDescent="0.25">
      <c r="B128" s="8" t="s">
        <v>115</v>
      </c>
      <c r="C128" s="73">
        <f>700</f>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104">
        <f>8500+1500+72+965-1000+723</f>
        <v>10760</v>
      </c>
      <c r="D132" s="104"/>
      <c r="E132" s="9">
        <v>1000</v>
      </c>
      <c r="F132" s="9"/>
      <c r="G132" s="9"/>
      <c r="H132" s="9">
        <f t="shared" si="16"/>
        <v>11760</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104">
        <f>21800+5000+5700+4714</f>
        <v>37214</v>
      </c>
      <c r="D135" s="104"/>
      <c r="E135" s="9">
        <f>1000-200</f>
        <v>800</v>
      </c>
      <c r="F135" s="9"/>
      <c r="G135" s="9"/>
      <c r="H135" s="9">
        <f t="shared" si="16"/>
        <v>38014</v>
      </c>
    </row>
    <row r="136" spans="2:8" x14ac:dyDescent="0.25">
      <c r="B136" s="8" t="s">
        <v>122</v>
      </c>
      <c r="C136" s="66">
        <f>53648+7892</f>
        <v>61540</v>
      </c>
      <c r="D136" s="108"/>
      <c r="E136" s="9">
        <f>1000-200-200</f>
        <v>600</v>
      </c>
      <c r="F136" s="9"/>
      <c r="G136" s="66"/>
      <c r="H136" s="9">
        <f t="shared" si="16"/>
        <v>62140</v>
      </c>
    </row>
    <row r="137" spans="2:8" x14ac:dyDescent="0.25">
      <c r="B137" s="8" t="s">
        <v>158</v>
      </c>
      <c r="C137" s="108">
        <f>33077+3200+29000+10916</f>
        <v>76193</v>
      </c>
      <c r="D137" s="66"/>
      <c r="E137" s="9">
        <v>500</v>
      </c>
      <c r="F137" s="9"/>
      <c r="G137" s="9"/>
      <c r="H137" s="9">
        <f t="shared" si="16"/>
        <v>76693</v>
      </c>
    </row>
    <row r="138" spans="2:8" x14ac:dyDescent="0.25">
      <c r="B138" s="8" t="s">
        <v>123</v>
      </c>
      <c r="C138" s="125">
        <v>1200</v>
      </c>
      <c r="D138" s="90">
        <v>64</v>
      </c>
      <c r="E138" s="90">
        <f>1000-500+500+200</f>
        <v>1200</v>
      </c>
      <c r="F138" s="90"/>
      <c r="G138" s="13"/>
      <c r="H138" s="9">
        <f t="shared" si="16"/>
        <v>2464</v>
      </c>
    </row>
    <row r="139" spans="2:8" x14ac:dyDescent="0.25">
      <c r="B139" s="8" t="s">
        <v>124</v>
      </c>
      <c r="C139" s="9">
        <f>3100</f>
        <v>3100</v>
      </c>
      <c r="D139" s="9"/>
      <c r="E139" s="9"/>
      <c r="F139" s="9"/>
      <c r="G139" s="9"/>
      <c r="H139" s="9">
        <f t="shared" si="16"/>
        <v>3100</v>
      </c>
    </row>
    <row r="140" spans="2:8" x14ac:dyDescent="0.25">
      <c r="B140" s="8" t="s">
        <v>125</v>
      </c>
      <c r="C140" s="102">
        <f>1800-600+400</f>
        <v>1600</v>
      </c>
      <c r="D140" s="9"/>
      <c r="E140" s="9"/>
      <c r="F140" s="9"/>
      <c r="G140" s="9"/>
      <c r="H140" s="9">
        <f t="shared" si="16"/>
        <v>1600</v>
      </c>
    </row>
    <row r="141" spans="2:8" x14ac:dyDescent="0.25">
      <c r="B141" s="8" t="s">
        <v>164</v>
      </c>
      <c r="C141" s="9">
        <f>166-38</f>
        <v>128</v>
      </c>
      <c r="D141" s="9"/>
      <c r="E141" s="9"/>
      <c r="F141" s="9"/>
      <c r="G141" s="9"/>
      <c r="H141" s="9">
        <f t="shared" si="16"/>
        <v>128</v>
      </c>
    </row>
    <row r="142" spans="2:8" x14ac:dyDescent="0.25">
      <c r="B142" s="8" t="s">
        <v>126</v>
      </c>
      <c r="C142" s="9">
        <f>1200+300</f>
        <v>1500</v>
      </c>
      <c r="D142" s="9"/>
      <c r="E142" s="9">
        <f>100+100</f>
        <v>200</v>
      </c>
      <c r="F142" s="9"/>
      <c r="G142" s="9"/>
      <c r="H142" s="9">
        <f t="shared" si="16"/>
        <v>1700</v>
      </c>
    </row>
    <row r="143" spans="2:8" x14ac:dyDescent="0.25">
      <c r="B143" s="8" t="s">
        <v>127</v>
      </c>
      <c r="C143" s="9">
        <v>1600</v>
      </c>
      <c r="D143" s="9"/>
      <c r="E143" s="9"/>
      <c r="F143" s="9"/>
      <c r="G143" s="9"/>
      <c r="H143" s="9">
        <f t="shared" si="16"/>
        <v>1600</v>
      </c>
    </row>
    <row r="144" spans="2:8" x14ac:dyDescent="0.25">
      <c r="B144" s="8" t="s">
        <v>128</v>
      </c>
      <c r="C144" s="66">
        <f>400-100</f>
        <v>300</v>
      </c>
      <c r="D144" s="108">
        <v>5500</v>
      </c>
      <c r="E144" s="9">
        <v>100</v>
      </c>
      <c r="F144" s="9"/>
      <c r="G144" s="9"/>
      <c r="H144" s="9">
        <f>SUM(C144:G144)</f>
        <v>5900</v>
      </c>
    </row>
    <row r="145" spans="2:8" ht="15.75" thickBot="1" x14ac:dyDescent="0.3">
      <c r="B145" s="17" t="s">
        <v>129</v>
      </c>
      <c r="C145" s="1"/>
      <c r="D145" s="1">
        <v>39</v>
      </c>
      <c r="E145" s="1">
        <f>600+200</f>
        <v>800</v>
      </c>
      <c r="F145" s="1"/>
      <c r="G145" s="1"/>
      <c r="H145" s="9">
        <f t="shared" si="16"/>
        <v>839</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80">
        <f>1500+1500+200+500</f>
        <v>3700</v>
      </c>
      <c r="F147" s="100"/>
      <c r="G147" s="81"/>
      <c r="H147" s="72">
        <f t="shared" ref="H147" si="17">SUM(C147:G147)</f>
        <v>3700</v>
      </c>
    </row>
    <row r="148" spans="2:8" ht="15.75" thickBot="1" x14ac:dyDescent="0.3">
      <c r="B148" s="47" t="s">
        <v>151</v>
      </c>
      <c r="C148" s="65">
        <f>SUM(C149:C152)</f>
        <v>2000</v>
      </c>
      <c r="D148" s="44"/>
      <c r="E148" s="86">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43">
        <f>200+400+100-200+300</f>
        <v>800</v>
      </c>
      <c r="F154" s="43"/>
      <c r="G154" s="82"/>
      <c r="H154" s="44">
        <f>SUM(C154:E154)</f>
        <v>800</v>
      </c>
    </row>
    <row r="155" spans="2:8" ht="16.5" thickBot="1" x14ac:dyDescent="0.3">
      <c r="B155" s="29" t="s">
        <v>136</v>
      </c>
      <c r="C155" s="30">
        <f>SUM(C19,C20,C21,C29,C32,C57,C67,C92,C99,C124,C146,C147,C148,C153,C154,C22)</f>
        <v>2762073</v>
      </c>
      <c r="D155" s="30">
        <f>SUM(D19,D20,D21,D29,D32,D57,D67,D92,D99,D124,D146,D147,D148,D153,D154,D22)</f>
        <v>14023</v>
      </c>
      <c r="E155" s="30">
        <f>SUM(E19,E20,E21,E29,E32,E57,E67,E92,E99,E124,E146,E147,E148,E153,E154,E22)</f>
        <v>78730</v>
      </c>
      <c r="F155" s="30">
        <f>SUM(F19,F20,F21,F29,F32,F57,F67,F92,F99,F124,F146,F147,F148,F153,F154,F22)</f>
        <v>2551</v>
      </c>
      <c r="G155" s="30">
        <f>SUM(G19,G20,G21,G29,G32,G57,G67,G92,G99,G124,G146,G147,G148,G153,G154,G22)</f>
        <v>288</v>
      </c>
      <c r="H155" s="30">
        <f>SUM(H19,H20,H21,H22,H29,H32,H57,H67,H92,H99,H124,H146,H147,H148,H153,H154)</f>
        <v>2857665</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20">
        <v>4000</v>
      </c>
      <c r="E158" s="9"/>
      <c r="F158" s="64"/>
      <c r="G158" s="77"/>
      <c r="H158" s="2">
        <f t="shared" si="20"/>
        <v>4000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64">
        <v>4000</v>
      </c>
      <c r="G161" s="77"/>
      <c r="H161" s="2">
        <f t="shared" si="20"/>
        <v>4000</v>
      </c>
    </row>
    <row r="162" spans="1:12" x14ac:dyDescent="0.25">
      <c r="B162" s="21" t="s">
        <v>140</v>
      </c>
      <c r="C162" s="20"/>
      <c r="D162" s="20">
        <v>23084</v>
      </c>
      <c r="E162" s="9">
        <f>200-100-50</f>
        <v>50</v>
      </c>
      <c r="F162" s="64"/>
      <c r="G162" s="77"/>
      <c r="H162" s="2">
        <f t="shared" si="20"/>
        <v>23134</v>
      </c>
    </row>
    <row r="163" spans="1:12" x14ac:dyDescent="0.25">
      <c r="B163" s="19" t="s">
        <v>141</v>
      </c>
      <c r="C163" s="20"/>
      <c r="D163" s="112">
        <f>34727+3510</f>
        <v>38237</v>
      </c>
      <c r="E163" s="9">
        <f>600-200</f>
        <v>400</v>
      </c>
      <c r="F163" s="64"/>
      <c r="G163" s="77"/>
      <c r="H163" s="2">
        <f t="shared" si="20"/>
        <v>38637</v>
      </c>
    </row>
    <row r="164" spans="1:12" x14ac:dyDescent="0.25">
      <c r="B164" s="21" t="s">
        <v>142</v>
      </c>
      <c r="C164" s="20"/>
      <c r="D164" s="20">
        <v>500</v>
      </c>
      <c r="E164" s="9">
        <f>400+200+150+100+200+20+100+50</f>
        <v>1220</v>
      </c>
      <c r="F164" s="64">
        <v>729</v>
      </c>
      <c r="G164" s="77"/>
      <c r="H164" s="2">
        <f t="shared" si="20"/>
        <v>2449</v>
      </c>
      <c r="K164" s="56"/>
    </row>
    <row r="165" spans="1:12" x14ac:dyDescent="0.25">
      <c r="B165" s="21" t="s">
        <v>176</v>
      </c>
      <c r="C165" s="20"/>
      <c r="D165" s="112">
        <v>528</v>
      </c>
      <c r="E165" s="9">
        <f>15+20</f>
        <v>35</v>
      </c>
      <c r="F165" s="64"/>
      <c r="G165" s="77"/>
      <c r="H165" s="2">
        <f t="shared" si="20"/>
        <v>563</v>
      </c>
    </row>
    <row r="166" spans="1:12" x14ac:dyDescent="0.25">
      <c r="B166" s="19" t="s">
        <v>143</v>
      </c>
      <c r="C166" s="20"/>
      <c r="D166" s="20"/>
      <c r="E166" s="9">
        <f>300-150+100+300+50</f>
        <v>600</v>
      </c>
      <c r="F166" s="64"/>
      <c r="G166" s="77"/>
      <c r="H166" s="2">
        <f t="shared" si="20"/>
        <v>600</v>
      </c>
    </row>
    <row r="167" spans="1:12" x14ac:dyDescent="0.25">
      <c r="B167" s="22" t="s">
        <v>144</v>
      </c>
      <c r="C167" s="20"/>
      <c r="D167" s="112">
        <f>22200+34372+4500</f>
        <v>61072</v>
      </c>
      <c r="E167" s="9">
        <v>500</v>
      </c>
      <c r="F167" s="64"/>
      <c r="G167" s="77"/>
      <c r="H167" s="2">
        <f t="shared" si="20"/>
        <v>61572</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127421</v>
      </c>
      <c r="E171" s="30">
        <f>SUM(E156:E170)</f>
        <v>2955</v>
      </c>
      <c r="F171" s="30">
        <f t="shared" si="21"/>
        <v>4729</v>
      </c>
      <c r="G171" s="30">
        <f t="shared" si="21"/>
        <v>2797</v>
      </c>
      <c r="H171" s="30">
        <f t="shared" si="21"/>
        <v>137902</v>
      </c>
    </row>
    <row r="172" spans="1:12" ht="16.5" customHeight="1" thickBot="1" x14ac:dyDescent="0.3">
      <c r="B172" s="34" t="s">
        <v>148</v>
      </c>
      <c r="C172" s="35">
        <f t="shared" ref="C172:G172" si="22">C155+C171</f>
        <v>2762073</v>
      </c>
      <c r="D172" s="35">
        <f t="shared" si="22"/>
        <v>141444</v>
      </c>
      <c r="E172" s="35">
        <f t="shared" si="22"/>
        <v>81685</v>
      </c>
      <c r="F172" s="35">
        <f>F155+F171</f>
        <v>7280</v>
      </c>
      <c r="G172" s="35">
        <f t="shared" si="22"/>
        <v>3085</v>
      </c>
      <c r="H172" s="35">
        <f>H155+H171</f>
        <v>2995567</v>
      </c>
      <c r="L172" s="56"/>
    </row>
    <row r="173" spans="1:12" ht="171" customHeight="1" x14ac:dyDescent="0.25">
      <c r="A173" s="89"/>
      <c r="B173" s="146" t="s">
        <v>222</v>
      </c>
      <c r="C173" s="146"/>
      <c r="D173" s="146"/>
      <c r="E173" s="146"/>
      <c r="F173" s="146"/>
      <c r="G173" s="146"/>
      <c r="H173" s="146"/>
    </row>
    <row r="174" spans="1:12" ht="15" customHeight="1" x14ac:dyDescent="0.25">
      <c r="E174" s="147" t="s">
        <v>179</v>
      </c>
      <c r="F174" s="147"/>
      <c r="G174" s="147"/>
      <c r="H174" s="147"/>
    </row>
    <row r="175" spans="1:12" ht="1.5" hidden="1" customHeight="1" x14ac:dyDescent="0.25">
      <c r="E175" s="147" t="s">
        <v>180</v>
      </c>
      <c r="F175" s="147"/>
      <c r="G175" s="147"/>
      <c r="H175" s="147"/>
    </row>
    <row r="176" spans="1:12" hidden="1" x14ac:dyDescent="0.25">
      <c r="C176" s="56"/>
      <c r="D176" s="56"/>
      <c r="E176" s="147"/>
      <c r="F176" s="147"/>
      <c r="G176" s="147"/>
      <c r="H176" s="147"/>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zoomScale="110" zoomScaleNormal="110" workbookViewId="0">
      <selection activeCell="B23" sqref="B23"/>
    </sheetView>
  </sheetViews>
  <sheetFormatPr defaultRowHeight="15" x14ac:dyDescent="0.25"/>
  <cols>
    <col min="1" max="1" width="54.7109375" customWidth="1"/>
    <col min="2" max="2" width="13.5703125" customWidth="1"/>
    <col min="3" max="3" width="12.7109375" customWidth="1"/>
  </cols>
  <sheetData>
    <row r="2" spans="1:3" x14ac:dyDescent="0.25">
      <c r="A2" s="148" t="s">
        <v>0</v>
      </c>
      <c r="B2" s="148"/>
      <c r="C2" s="148"/>
    </row>
    <row r="3" spans="1:3" x14ac:dyDescent="0.25">
      <c r="A3" s="149" t="s">
        <v>182</v>
      </c>
      <c r="B3" s="149"/>
      <c r="C3" s="149"/>
    </row>
    <row r="4" spans="1:3" ht="15.75" thickBot="1" x14ac:dyDescent="0.3">
      <c r="A4" s="59"/>
      <c r="B4" s="5" t="s">
        <v>1</v>
      </c>
      <c r="C4" s="91"/>
    </row>
    <row r="5" spans="1:3" ht="43.5" thickBot="1" x14ac:dyDescent="0.3">
      <c r="A5" s="24" t="s">
        <v>2</v>
      </c>
      <c r="B5" s="25" t="s">
        <v>5</v>
      </c>
      <c r="C5" s="57" t="s">
        <v>154</v>
      </c>
    </row>
    <row r="6" spans="1:3" ht="15.75" x14ac:dyDescent="0.25">
      <c r="A6" s="26" t="s">
        <v>6</v>
      </c>
      <c r="B6" s="28"/>
      <c r="C6" s="28"/>
    </row>
    <row r="7" spans="1:3" x14ac:dyDescent="0.25">
      <c r="A7" s="6" t="s">
        <v>9</v>
      </c>
      <c r="B7" s="2">
        <v>2604918</v>
      </c>
      <c r="C7" s="67" t="s">
        <v>7</v>
      </c>
    </row>
    <row r="8" spans="1:3" x14ac:dyDescent="0.25">
      <c r="A8" s="8" t="s">
        <v>10</v>
      </c>
      <c r="B8" s="2">
        <v>32136</v>
      </c>
      <c r="C8" s="67" t="s">
        <v>7</v>
      </c>
    </row>
    <row r="9" spans="1:3" x14ac:dyDescent="0.25">
      <c r="A9" s="8" t="s">
        <v>11</v>
      </c>
      <c r="B9" s="2">
        <v>57270</v>
      </c>
      <c r="C9" s="67" t="s">
        <v>8</v>
      </c>
    </row>
    <row r="10" spans="1:3" x14ac:dyDescent="0.25">
      <c r="A10" s="8" t="s">
        <v>169</v>
      </c>
      <c r="B10" s="2">
        <v>10277</v>
      </c>
      <c r="C10" s="67" t="s">
        <v>155</v>
      </c>
    </row>
    <row r="11" spans="1:3" x14ac:dyDescent="0.25">
      <c r="A11" s="8" t="s">
        <v>171</v>
      </c>
      <c r="B11" s="2">
        <v>0</v>
      </c>
      <c r="C11" s="67"/>
    </row>
    <row r="12" spans="1:3" x14ac:dyDescent="0.25">
      <c r="A12" s="8" t="s">
        <v>12</v>
      </c>
      <c r="B12" s="2">
        <v>0</v>
      </c>
      <c r="C12" s="67"/>
    </row>
    <row r="13" spans="1:3" x14ac:dyDescent="0.25">
      <c r="A13" s="53" t="s">
        <v>13</v>
      </c>
      <c r="B13" s="2">
        <v>5302</v>
      </c>
      <c r="C13" s="67" t="s">
        <v>155</v>
      </c>
    </row>
    <row r="14" spans="1:3" ht="15.75" thickBot="1" x14ac:dyDescent="0.3">
      <c r="A14" s="10" t="s">
        <v>172</v>
      </c>
      <c r="B14" s="2">
        <v>2797</v>
      </c>
      <c r="C14" s="67" t="s">
        <v>174</v>
      </c>
    </row>
    <row r="15" spans="1:3" ht="16.5" thickBot="1" x14ac:dyDescent="0.3">
      <c r="A15" s="29" t="s">
        <v>14</v>
      </c>
      <c r="B15" s="30">
        <v>2712700</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2238011.04</v>
      </c>
      <c r="C19" s="63" t="s">
        <v>155</v>
      </c>
    </row>
    <row r="20" spans="1:3" ht="15.75" thickBot="1" x14ac:dyDescent="0.3">
      <c r="A20" s="39" t="s">
        <v>17</v>
      </c>
      <c r="B20" s="45">
        <v>56675</v>
      </c>
      <c r="C20" s="69" t="s">
        <v>155</v>
      </c>
    </row>
    <row r="21" spans="1:3" ht="15.75" thickBot="1" x14ac:dyDescent="0.3">
      <c r="A21" s="40" t="s">
        <v>18</v>
      </c>
      <c r="B21" s="45">
        <v>1900</v>
      </c>
      <c r="C21" s="67" t="s">
        <v>8</v>
      </c>
    </row>
    <row r="22" spans="1:3" ht="15.75" thickBot="1" x14ac:dyDescent="0.3">
      <c r="A22" s="41" t="s">
        <v>19</v>
      </c>
      <c r="B22" s="45">
        <v>27003</v>
      </c>
      <c r="C22" s="69" t="s">
        <v>155</v>
      </c>
    </row>
    <row r="23" spans="1:3" x14ac:dyDescent="0.25">
      <c r="A23" s="6" t="s">
        <v>177</v>
      </c>
      <c r="B23" s="7">
        <v>53</v>
      </c>
      <c r="C23" s="60" t="s">
        <v>7</v>
      </c>
    </row>
    <row r="24" spans="1:3" x14ac:dyDescent="0.25">
      <c r="A24" s="6" t="s">
        <v>20</v>
      </c>
      <c r="B24" s="7">
        <v>600</v>
      </c>
      <c r="C24" s="60" t="s">
        <v>8</v>
      </c>
    </row>
    <row r="25" spans="1:3" x14ac:dyDescent="0.25">
      <c r="A25" s="8" t="s">
        <v>21</v>
      </c>
      <c r="B25" s="7">
        <v>17750</v>
      </c>
      <c r="C25" s="69" t="s">
        <v>155</v>
      </c>
    </row>
    <row r="26" spans="1:3" x14ac:dyDescent="0.25">
      <c r="A26" s="8" t="s">
        <v>22</v>
      </c>
      <c r="B26" s="7">
        <v>600</v>
      </c>
      <c r="C26" s="60" t="s">
        <v>155</v>
      </c>
    </row>
    <row r="27" spans="1:3" x14ac:dyDescent="0.25">
      <c r="A27" s="12" t="s">
        <v>23</v>
      </c>
      <c r="B27" s="7">
        <v>1500</v>
      </c>
      <c r="C27" s="60" t="s">
        <v>155</v>
      </c>
    </row>
    <row r="28" spans="1:3" ht="15.75" thickBot="1" x14ac:dyDescent="0.3">
      <c r="A28" s="8" t="s">
        <v>167</v>
      </c>
      <c r="B28" s="7">
        <v>6500</v>
      </c>
      <c r="C28" s="60" t="s">
        <v>155</v>
      </c>
    </row>
    <row r="29" spans="1:3" ht="15.75" thickBot="1" x14ac:dyDescent="0.3">
      <c r="A29" s="41" t="s">
        <v>24</v>
      </c>
      <c r="B29" s="45">
        <v>29760</v>
      </c>
      <c r="C29" s="60"/>
    </row>
    <row r="30" spans="1:3" x14ac:dyDescent="0.25">
      <c r="A30" s="10" t="s">
        <v>25</v>
      </c>
      <c r="B30" s="88">
        <v>29450</v>
      </c>
      <c r="C30" s="60" t="s">
        <v>155</v>
      </c>
    </row>
    <row r="31" spans="1:3" x14ac:dyDescent="0.25">
      <c r="A31" s="53" t="s">
        <v>178</v>
      </c>
      <c r="B31" s="9">
        <v>310</v>
      </c>
      <c r="C31" s="70" t="s">
        <v>8</v>
      </c>
    </row>
    <row r="32" spans="1:3" ht="15.75" thickBot="1" x14ac:dyDescent="0.3">
      <c r="A32" s="48" t="s">
        <v>26</v>
      </c>
      <c r="B32" s="86">
        <v>106951</v>
      </c>
      <c r="C32" s="70"/>
    </row>
    <row r="33" spans="1:3" x14ac:dyDescent="0.25">
      <c r="A33" s="71" t="s">
        <v>27</v>
      </c>
      <c r="B33" s="9">
        <v>2200</v>
      </c>
      <c r="C33" s="60" t="s">
        <v>155</v>
      </c>
    </row>
    <row r="34" spans="1:3" x14ac:dyDescent="0.25">
      <c r="A34" s="53" t="s">
        <v>28</v>
      </c>
      <c r="B34" s="9">
        <v>26592</v>
      </c>
      <c r="C34" s="60" t="s">
        <v>155</v>
      </c>
    </row>
    <row r="35" spans="1:3" x14ac:dyDescent="0.25">
      <c r="A35" s="53" t="s">
        <v>29</v>
      </c>
      <c r="B35" s="9">
        <v>12600</v>
      </c>
      <c r="C35" s="60" t="s">
        <v>155</v>
      </c>
    </row>
    <row r="36" spans="1:3" x14ac:dyDescent="0.25">
      <c r="A36" s="53" t="s">
        <v>30</v>
      </c>
      <c r="B36" s="9">
        <v>100</v>
      </c>
      <c r="C36" s="68"/>
    </row>
    <row r="37" spans="1:3" x14ac:dyDescent="0.25">
      <c r="A37" s="53" t="s">
        <v>31</v>
      </c>
      <c r="B37" s="9">
        <v>26500</v>
      </c>
      <c r="C37" s="69" t="s">
        <v>155</v>
      </c>
    </row>
    <row r="38" spans="1:3" x14ac:dyDescent="0.25">
      <c r="A38" s="53" t="s">
        <v>32</v>
      </c>
      <c r="B38" s="9">
        <v>6540</v>
      </c>
      <c r="C38" s="60" t="s">
        <v>7</v>
      </c>
    </row>
    <row r="39" spans="1:3" x14ac:dyDescent="0.25">
      <c r="A39" s="53" t="s">
        <v>33</v>
      </c>
      <c r="B39" s="9">
        <v>500</v>
      </c>
      <c r="C39" s="60" t="s">
        <v>7</v>
      </c>
    </row>
    <row r="40" spans="1:3" x14ac:dyDescent="0.25">
      <c r="A40" s="53" t="s">
        <v>34</v>
      </c>
      <c r="B40" s="9">
        <v>550</v>
      </c>
      <c r="C40" s="60" t="s">
        <v>7</v>
      </c>
    </row>
    <row r="41" spans="1:3" x14ac:dyDescent="0.25">
      <c r="A41" s="53" t="s">
        <v>35</v>
      </c>
      <c r="B41" s="9">
        <v>5500</v>
      </c>
      <c r="C41" s="60" t="s">
        <v>7</v>
      </c>
    </row>
    <row r="42" spans="1:3" x14ac:dyDescent="0.25">
      <c r="A42" s="53" t="s">
        <v>36</v>
      </c>
      <c r="B42" s="9">
        <v>7200</v>
      </c>
      <c r="C42" s="60" t="s">
        <v>155</v>
      </c>
    </row>
    <row r="43" spans="1:3" x14ac:dyDescent="0.25">
      <c r="A43" s="53" t="s">
        <v>37</v>
      </c>
      <c r="B43" s="9">
        <v>6500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650</v>
      </c>
      <c r="C47" s="60" t="s">
        <v>155</v>
      </c>
    </row>
    <row r="48" spans="1:3" x14ac:dyDescent="0.25">
      <c r="A48" s="53" t="s">
        <v>42</v>
      </c>
      <c r="B48" s="9">
        <v>699</v>
      </c>
      <c r="C48" s="60" t="s">
        <v>7</v>
      </c>
    </row>
    <row r="49" spans="1:3" x14ac:dyDescent="0.25">
      <c r="A49" s="53" t="s">
        <v>43</v>
      </c>
      <c r="B49" s="9">
        <v>1750</v>
      </c>
      <c r="C49" s="60" t="s">
        <v>7</v>
      </c>
    </row>
    <row r="50" spans="1:3" x14ac:dyDescent="0.25">
      <c r="A50" s="53" t="s">
        <v>44</v>
      </c>
      <c r="B50" s="9">
        <v>2850</v>
      </c>
      <c r="C50" s="60" t="s">
        <v>7</v>
      </c>
    </row>
    <row r="51" spans="1:3" x14ac:dyDescent="0.25">
      <c r="A51" s="53" t="s">
        <v>45</v>
      </c>
      <c r="B51" s="9">
        <v>900</v>
      </c>
      <c r="C51" s="60" t="s">
        <v>7</v>
      </c>
    </row>
    <row r="52" spans="1:3" x14ac:dyDescent="0.25">
      <c r="A52" s="53" t="s">
        <v>46</v>
      </c>
      <c r="B52" s="9">
        <v>280</v>
      </c>
      <c r="C52" s="60" t="s">
        <v>8</v>
      </c>
    </row>
    <row r="53" spans="1:3" x14ac:dyDescent="0.25">
      <c r="A53" s="53" t="s">
        <v>153</v>
      </c>
      <c r="B53" s="9">
        <v>140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1276</v>
      </c>
      <c r="C57" s="70"/>
    </row>
    <row r="58" spans="1:3" x14ac:dyDescent="0.25">
      <c r="A58" s="4" t="s">
        <v>51</v>
      </c>
      <c r="B58" s="7">
        <v>0</v>
      </c>
      <c r="C58" s="60"/>
    </row>
    <row r="59" spans="1:3" x14ac:dyDescent="0.25">
      <c r="A59" s="8" t="s">
        <v>52</v>
      </c>
      <c r="B59" s="7">
        <v>150</v>
      </c>
      <c r="C59" s="60" t="s">
        <v>8</v>
      </c>
    </row>
    <row r="60" spans="1:3" x14ac:dyDescent="0.25">
      <c r="A60" s="8" t="s">
        <v>53</v>
      </c>
      <c r="B60" s="7">
        <v>250</v>
      </c>
      <c r="C60" s="60" t="s">
        <v>8</v>
      </c>
    </row>
    <row r="61" spans="1:3" x14ac:dyDescent="0.25">
      <c r="A61" s="8" t="s">
        <v>54</v>
      </c>
      <c r="B61" s="7">
        <v>100</v>
      </c>
      <c r="C61" s="60" t="s">
        <v>8</v>
      </c>
    </row>
    <row r="62" spans="1:3" x14ac:dyDescent="0.25">
      <c r="A62" s="8" t="s">
        <v>55</v>
      </c>
      <c r="B62" s="7">
        <v>150</v>
      </c>
      <c r="C62" s="60"/>
    </row>
    <row r="63" spans="1:3" x14ac:dyDescent="0.25">
      <c r="A63" s="8" t="s">
        <v>56</v>
      </c>
      <c r="B63" s="7">
        <v>150</v>
      </c>
      <c r="C63" s="60" t="s">
        <v>8</v>
      </c>
    </row>
    <row r="64" spans="1:3" x14ac:dyDescent="0.25">
      <c r="A64" s="8" t="s">
        <v>57</v>
      </c>
      <c r="B64" s="7">
        <v>150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27224</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3920</v>
      </c>
      <c r="C71" s="60" t="s">
        <v>7</v>
      </c>
    </row>
    <row r="72" spans="1:3" x14ac:dyDescent="0.25">
      <c r="A72" s="8" t="s">
        <v>64</v>
      </c>
      <c r="B72" s="2">
        <v>4500</v>
      </c>
      <c r="C72" s="60" t="s">
        <v>7</v>
      </c>
    </row>
    <row r="73" spans="1:3" x14ac:dyDescent="0.25">
      <c r="A73" s="8" t="s">
        <v>65</v>
      </c>
      <c r="B73" s="2">
        <v>450</v>
      </c>
      <c r="C73" s="60" t="s">
        <v>8</v>
      </c>
    </row>
    <row r="74" spans="1:3" x14ac:dyDescent="0.25">
      <c r="A74" s="8" t="s">
        <v>66</v>
      </c>
      <c r="B74" s="2">
        <v>5400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100</v>
      </c>
      <c r="C77" s="60" t="s">
        <v>8</v>
      </c>
    </row>
    <row r="78" spans="1:3" x14ac:dyDescent="0.25">
      <c r="A78" s="8" t="s">
        <v>70</v>
      </c>
      <c r="B78" s="2">
        <v>200</v>
      </c>
      <c r="C78" s="60" t="s">
        <v>8</v>
      </c>
    </row>
    <row r="79" spans="1:3" x14ac:dyDescent="0.25">
      <c r="A79" s="8" t="s">
        <v>71</v>
      </c>
      <c r="B79" s="2">
        <v>100</v>
      </c>
      <c r="C79" s="60" t="s">
        <v>8</v>
      </c>
    </row>
    <row r="80" spans="1:3" x14ac:dyDescent="0.25">
      <c r="A80" s="8" t="s">
        <v>72</v>
      </c>
      <c r="B80" s="2">
        <v>150</v>
      </c>
      <c r="C80" s="60" t="s">
        <v>7</v>
      </c>
    </row>
    <row r="81" spans="1:3" x14ac:dyDescent="0.25">
      <c r="A81" s="8" t="s">
        <v>73</v>
      </c>
      <c r="B81" s="2">
        <v>600</v>
      </c>
      <c r="C81" s="60" t="s">
        <v>8</v>
      </c>
    </row>
    <row r="82" spans="1:3" x14ac:dyDescent="0.25">
      <c r="A82" s="8" t="s">
        <v>74</v>
      </c>
      <c r="B82" s="2">
        <v>400</v>
      </c>
      <c r="C82" s="60" t="s">
        <v>8</v>
      </c>
    </row>
    <row r="83" spans="1:3" x14ac:dyDescent="0.25">
      <c r="A83" s="8" t="s">
        <v>75</v>
      </c>
      <c r="B83" s="2">
        <v>50</v>
      </c>
      <c r="C83" s="60" t="s">
        <v>8</v>
      </c>
    </row>
    <row r="84" spans="1:3" x14ac:dyDescent="0.25">
      <c r="A84" s="8" t="s">
        <v>76</v>
      </c>
      <c r="B84" s="2">
        <v>1010</v>
      </c>
      <c r="C84" s="60" t="s">
        <v>8</v>
      </c>
    </row>
    <row r="85" spans="1:3" x14ac:dyDescent="0.25">
      <c r="A85" s="15" t="s">
        <v>77</v>
      </c>
      <c r="B85" s="2">
        <v>150</v>
      </c>
      <c r="C85" s="60" t="s">
        <v>8</v>
      </c>
    </row>
    <row r="86" spans="1:3" x14ac:dyDescent="0.25">
      <c r="A86" s="6" t="s">
        <v>78</v>
      </c>
      <c r="B86" s="2">
        <v>1500</v>
      </c>
      <c r="C86" s="60" t="s">
        <v>8</v>
      </c>
    </row>
    <row r="87" spans="1:3" x14ac:dyDescent="0.25">
      <c r="A87" s="8" t="s">
        <v>79</v>
      </c>
      <c r="B87" s="2">
        <v>350</v>
      </c>
      <c r="C87" s="60" t="s">
        <v>8</v>
      </c>
    </row>
    <row r="88" spans="1:3" x14ac:dyDescent="0.25">
      <c r="A88" s="8" t="s">
        <v>80</v>
      </c>
      <c r="B88" s="2">
        <v>4600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1620</v>
      </c>
      <c r="C91" s="60" t="s">
        <v>8</v>
      </c>
    </row>
    <row r="92" spans="1:3" ht="15.75" thickBot="1" x14ac:dyDescent="0.3">
      <c r="A92" s="41" t="s">
        <v>84</v>
      </c>
      <c r="B92" s="45">
        <v>9376</v>
      </c>
      <c r="C92" s="60"/>
    </row>
    <row r="93" spans="1:3" x14ac:dyDescent="0.25">
      <c r="A93" s="6" t="s">
        <v>85</v>
      </c>
      <c r="B93" s="78">
        <v>100</v>
      </c>
      <c r="C93" s="60" t="s">
        <v>155</v>
      </c>
    </row>
    <row r="94" spans="1:3" x14ac:dyDescent="0.25">
      <c r="A94" s="8" t="s">
        <v>86</v>
      </c>
      <c r="B94" s="9">
        <v>500</v>
      </c>
      <c r="C94" s="60" t="s">
        <v>7</v>
      </c>
    </row>
    <row r="95" spans="1:3" x14ac:dyDescent="0.25">
      <c r="A95" s="8" t="s">
        <v>157</v>
      </c>
      <c r="B95" s="9">
        <v>3800</v>
      </c>
      <c r="C95" s="60" t="s">
        <v>8</v>
      </c>
    </row>
    <row r="96" spans="1:3" x14ac:dyDescent="0.25">
      <c r="A96" s="8" t="s">
        <v>87</v>
      </c>
      <c r="B96" s="9">
        <v>1426</v>
      </c>
      <c r="C96" s="60" t="s">
        <v>155</v>
      </c>
    </row>
    <row r="97" spans="1:3" x14ac:dyDescent="0.25">
      <c r="A97" s="8" t="s">
        <v>88</v>
      </c>
      <c r="B97" s="9">
        <v>50</v>
      </c>
      <c r="C97" s="60" t="s">
        <v>8</v>
      </c>
    </row>
    <row r="98" spans="1:3" ht="15.75" thickBot="1" x14ac:dyDescent="0.3">
      <c r="A98" s="12" t="s">
        <v>89</v>
      </c>
      <c r="B98" s="2">
        <v>3500</v>
      </c>
      <c r="C98" s="60" t="s">
        <v>8</v>
      </c>
    </row>
    <row r="99" spans="1:3" ht="15.75" thickBot="1" x14ac:dyDescent="0.3">
      <c r="A99" s="41" t="s">
        <v>90</v>
      </c>
      <c r="B99" s="45">
        <v>23632</v>
      </c>
      <c r="C99" s="60"/>
    </row>
    <row r="100" spans="1:3" x14ac:dyDescent="0.25">
      <c r="A100" s="6" t="s">
        <v>91</v>
      </c>
      <c r="B100" s="9">
        <v>200</v>
      </c>
      <c r="C100" s="60" t="s">
        <v>7</v>
      </c>
    </row>
    <row r="101" spans="1:3" x14ac:dyDescent="0.25">
      <c r="A101" s="8" t="s">
        <v>92</v>
      </c>
      <c r="B101" s="9">
        <v>200</v>
      </c>
      <c r="C101" s="60" t="s">
        <v>7</v>
      </c>
    </row>
    <row r="102" spans="1:3" x14ac:dyDescent="0.25">
      <c r="A102" s="8" t="s">
        <v>149</v>
      </c>
      <c r="B102" s="9">
        <v>500</v>
      </c>
      <c r="C102" s="60" t="s">
        <v>7</v>
      </c>
    </row>
    <row r="103" spans="1:3" x14ac:dyDescent="0.25">
      <c r="A103" s="8" t="s">
        <v>93</v>
      </c>
      <c r="B103" s="9">
        <v>200</v>
      </c>
      <c r="C103" s="60" t="s">
        <v>7</v>
      </c>
    </row>
    <row r="104" spans="1:3" x14ac:dyDescent="0.25">
      <c r="A104" s="8" t="s">
        <v>94</v>
      </c>
      <c r="B104" s="9">
        <v>1200</v>
      </c>
      <c r="C104" s="60" t="s">
        <v>7</v>
      </c>
    </row>
    <row r="105" spans="1:3" x14ac:dyDescent="0.25">
      <c r="A105" s="8" t="s">
        <v>95</v>
      </c>
      <c r="B105" s="9">
        <v>400</v>
      </c>
      <c r="C105" s="60" t="s">
        <v>7</v>
      </c>
    </row>
    <row r="106" spans="1:3" x14ac:dyDescent="0.25">
      <c r="A106" s="8" t="s">
        <v>96</v>
      </c>
      <c r="B106" s="9">
        <v>1210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1200</v>
      </c>
      <c r="C109" s="60" t="s">
        <v>7</v>
      </c>
    </row>
    <row r="110" spans="1:3" x14ac:dyDescent="0.25">
      <c r="A110" s="8" t="s">
        <v>99</v>
      </c>
      <c r="B110" s="9">
        <v>5000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400</v>
      </c>
      <c r="C113" s="60" t="s">
        <v>7</v>
      </c>
    </row>
    <row r="114" spans="1:3" x14ac:dyDescent="0.25">
      <c r="A114" s="8" t="s">
        <v>102</v>
      </c>
      <c r="B114" s="9">
        <v>480</v>
      </c>
      <c r="C114" s="60" t="s">
        <v>7</v>
      </c>
    </row>
    <row r="115" spans="1:3" x14ac:dyDescent="0.25">
      <c r="A115" s="8" t="s">
        <v>103</v>
      </c>
      <c r="B115" s="9">
        <v>304</v>
      </c>
      <c r="C115" s="60" t="s">
        <v>7</v>
      </c>
    </row>
    <row r="116" spans="1:3" x14ac:dyDescent="0.25">
      <c r="A116" s="8" t="s">
        <v>104</v>
      </c>
      <c r="B116" s="9">
        <v>600</v>
      </c>
      <c r="C116" s="60" t="s">
        <v>7</v>
      </c>
    </row>
    <row r="117" spans="1:3" x14ac:dyDescent="0.25">
      <c r="A117" s="8" t="s">
        <v>105</v>
      </c>
      <c r="B117" s="9">
        <v>100</v>
      </c>
      <c r="C117" s="60" t="s">
        <v>7</v>
      </c>
    </row>
    <row r="118" spans="1:3" x14ac:dyDescent="0.25">
      <c r="A118" s="8" t="s">
        <v>106</v>
      </c>
      <c r="B118" s="9">
        <v>1200</v>
      </c>
      <c r="C118" s="60" t="s">
        <v>7</v>
      </c>
    </row>
    <row r="119" spans="1:3" x14ac:dyDescent="0.25">
      <c r="A119" s="8" t="s">
        <v>107</v>
      </c>
      <c r="B119" s="9">
        <v>4006</v>
      </c>
      <c r="C119" s="60" t="s">
        <v>7</v>
      </c>
    </row>
    <row r="120" spans="1:3" x14ac:dyDescent="0.25">
      <c r="A120" s="23" t="s">
        <v>108</v>
      </c>
      <c r="B120" s="9">
        <v>2220</v>
      </c>
      <c r="C120" s="60" t="s">
        <v>7</v>
      </c>
    </row>
    <row r="121" spans="1:3" x14ac:dyDescent="0.25">
      <c r="A121" s="8" t="s">
        <v>109</v>
      </c>
      <c r="B121" s="9">
        <v>800</v>
      </c>
      <c r="C121" s="60" t="s">
        <v>7</v>
      </c>
    </row>
    <row r="122" spans="1:3" x14ac:dyDescent="0.25">
      <c r="A122" s="8" t="s">
        <v>110</v>
      </c>
      <c r="B122" s="9">
        <v>1200</v>
      </c>
      <c r="C122" s="60" t="s">
        <v>8</v>
      </c>
    </row>
    <row r="123" spans="1:3" ht="15.75" thickBot="1" x14ac:dyDescent="0.3">
      <c r="A123" s="12" t="s">
        <v>111</v>
      </c>
      <c r="B123" s="9">
        <v>912</v>
      </c>
      <c r="C123" s="60" t="s">
        <v>7</v>
      </c>
    </row>
    <row r="124" spans="1:3" ht="15.75" thickBot="1" x14ac:dyDescent="0.3">
      <c r="A124" s="41" t="s">
        <v>112</v>
      </c>
      <c r="B124" s="45">
        <v>177795</v>
      </c>
      <c r="C124" s="60"/>
    </row>
    <row r="125" spans="1:3" x14ac:dyDescent="0.25">
      <c r="A125" s="6" t="s">
        <v>113</v>
      </c>
      <c r="B125" s="9">
        <v>5650</v>
      </c>
      <c r="C125" s="60" t="s">
        <v>155</v>
      </c>
    </row>
    <row r="126" spans="1:3" x14ac:dyDescent="0.25">
      <c r="A126" s="8" t="s">
        <v>114</v>
      </c>
      <c r="B126" s="9">
        <v>200</v>
      </c>
      <c r="C126" s="60" t="s">
        <v>7</v>
      </c>
    </row>
    <row r="127" spans="1:3" x14ac:dyDescent="0.25">
      <c r="A127" s="8" t="s">
        <v>162</v>
      </c>
      <c r="B127" s="9">
        <v>238</v>
      </c>
      <c r="C127" s="60"/>
    </row>
    <row r="128" spans="1:3" x14ac:dyDescent="0.25">
      <c r="A128" s="8" t="s">
        <v>115</v>
      </c>
      <c r="B128" s="9">
        <v>180</v>
      </c>
      <c r="C128" s="60" t="s">
        <v>7</v>
      </c>
    </row>
    <row r="129" spans="1:3" x14ac:dyDescent="0.25">
      <c r="A129" s="8" t="s">
        <v>116</v>
      </c>
      <c r="B129" s="9">
        <v>30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10072</v>
      </c>
      <c r="C132" s="60" t="s">
        <v>7</v>
      </c>
    </row>
    <row r="133" spans="1:3" x14ac:dyDescent="0.25">
      <c r="A133" s="8" t="s">
        <v>163</v>
      </c>
      <c r="B133" s="9">
        <v>450</v>
      </c>
      <c r="C133" s="60" t="s">
        <v>7</v>
      </c>
    </row>
    <row r="134" spans="1:3" x14ac:dyDescent="0.25">
      <c r="A134" s="8" t="s">
        <v>120</v>
      </c>
      <c r="B134" s="9">
        <v>700</v>
      </c>
      <c r="C134" s="60" t="s">
        <v>7</v>
      </c>
    </row>
    <row r="135" spans="1:3" x14ac:dyDescent="0.25">
      <c r="A135" s="23" t="s">
        <v>121</v>
      </c>
      <c r="B135" s="9">
        <v>29041</v>
      </c>
      <c r="C135" s="60" t="s">
        <v>155</v>
      </c>
    </row>
    <row r="136" spans="1:3" x14ac:dyDescent="0.25">
      <c r="A136" s="8" t="s">
        <v>122</v>
      </c>
      <c r="B136" s="9">
        <v>54448</v>
      </c>
      <c r="C136" s="60" t="s">
        <v>155</v>
      </c>
    </row>
    <row r="137" spans="1:3" x14ac:dyDescent="0.25">
      <c r="A137" s="8" t="s">
        <v>158</v>
      </c>
      <c r="B137" s="9">
        <v>64561</v>
      </c>
      <c r="C137" s="60" t="s">
        <v>7</v>
      </c>
    </row>
    <row r="138" spans="1:3" x14ac:dyDescent="0.25">
      <c r="A138" s="8" t="s">
        <v>123</v>
      </c>
      <c r="B138" s="9">
        <v>2132</v>
      </c>
      <c r="C138" s="60" t="s">
        <v>155</v>
      </c>
    </row>
    <row r="139" spans="1:3" x14ac:dyDescent="0.25">
      <c r="A139" s="8" t="s">
        <v>124</v>
      </c>
      <c r="B139" s="9">
        <v>3578</v>
      </c>
      <c r="C139" s="60" t="s">
        <v>7</v>
      </c>
    </row>
    <row r="140" spans="1:3" x14ac:dyDescent="0.25">
      <c r="A140" s="8" t="s">
        <v>125</v>
      </c>
      <c r="B140" s="9">
        <v>1800</v>
      </c>
      <c r="C140" s="60" t="s">
        <v>7</v>
      </c>
    </row>
    <row r="141" spans="1:3" x14ac:dyDescent="0.25">
      <c r="A141" s="8" t="s">
        <v>164</v>
      </c>
      <c r="B141" s="9">
        <v>200</v>
      </c>
      <c r="C141" s="60" t="s">
        <v>7</v>
      </c>
    </row>
    <row r="142" spans="1:3" x14ac:dyDescent="0.25">
      <c r="A142" s="8" t="s">
        <v>126</v>
      </c>
      <c r="B142" s="9">
        <v>600</v>
      </c>
      <c r="C142" s="60" t="s">
        <v>155</v>
      </c>
    </row>
    <row r="143" spans="1:3" x14ac:dyDescent="0.25">
      <c r="A143" s="8" t="s">
        <v>127</v>
      </c>
      <c r="B143" s="9">
        <v>2015</v>
      </c>
      <c r="C143" s="60" t="s">
        <v>7</v>
      </c>
    </row>
    <row r="144" spans="1:3" x14ac:dyDescent="0.25">
      <c r="A144" s="8" t="s">
        <v>128</v>
      </c>
      <c r="B144" s="9">
        <v>400</v>
      </c>
      <c r="C144" s="60" t="s">
        <v>155</v>
      </c>
    </row>
    <row r="145" spans="1:3" ht="15.75" thickBot="1" x14ac:dyDescent="0.3">
      <c r="A145" s="17" t="s">
        <v>129</v>
      </c>
      <c r="B145" s="9">
        <v>800</v>
      </c>
      <c r="C145" s="60" t="s">
        <v>159</v>
      </c>
    </row>
    <row r="146" spans="1:3" ht="15.75" thickBot="1" x14ac:dyDescent="0.3">
      <c r="A146" s="47" t="s">
        <v>152</v>
      </c>
      <c r="B146" s="72">
        <v>2200</v>
      </c>
      <c r="C146" s="60" t="s">
        <v>8</v>
      </c>
    </row>
    <row r="147" spans="1:3" ht="15.75" thickBot="1" x14ac:dyDescent="0.3">
      <c r="A147" s="48" t="s">
        <v>130</v>
      </c>
      <c r="B147" s="72">
        <v>1500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700</v>
      </c>
      <c r="C154" s="60" t="s">
        <v>8</v>
      </c>
    </row>
    <row r="155" spans="1:3" ht="16.5" thickBot="1" x14ac:dyDescent="0.3">
      <c r="A155" s="29" t="s">
        <v>136</v>
      </c>
      <c r="B155" s="30">
        <v>2707503.04</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0</v>
      </c>
      <c r="C158" s="60"/>
    </row>
    <row r="159" spans="1:3" x14ac:dyDescent="0.25">
      <c r="A159" s="21" t="s">
        <v>138</v>
      </c>
      <c r="B159" s="2">
        <v>0</v>
      </c>
      <c r="C159" s="60"/>
    </row>
    <row r="160" spans="1:3" x14ac:dyDescent="0.25">
      <c r="A160" s="21" t="s">
        <v>175</v>
      </c>
      <c r="B160" s="2">
        <v>0</v>
      </c>
      <c r="C160" s="60"/>
    </row>
    <row r="161" spans="1:3" x14ac:dyDescent="0.25">
      <c r="A161" s="21" t="s">
        <v>139</v>
      </c>
      <c r="B161" s="2">
        <v>0</v>
      </c>
      <c r="C161" s="60"/>
    </row>
    <row r="162" spans="1:3" x14ac:dyDescent="0.25">
      <c r="A162" s="21" t="s">
        <v>140</v>
      </c>
      <c r="B162" s="2">
        <v>300</v>
      </c>
      <c r="C162" s="60" t="s">
        <v>8</v>
      </c>
    </row>
    <row r="163" spans="1:3" x14ac:dyDescent="0.25">
      <c r="A163" s="19" t="s">
        <v>141</v>
      </c>
      <c r="B163" s="2">
        <v>600</v>
      </c>
      <c r="C163" s="60" t="s">
        <v>8</v>
      </c>
    </row>
    <row r="164" spans="1:3" x14ac:dyDescent="0.25">
      <c r="A164" s="21" t="s">
        <v>142</v>
      </c>
      <c r="B164" s="2">
        <v>200</v>
      </c>
      <c r="C164" s="60" t="s">
        <v>8</v>
      </c>
    </row>
    <row r="165" spans="1:3" x14ac:dyDescent="0.25">
      <c r="A165" s="21" t="s">
        <v>176</v>
      </c>
      <c r="B165" s="2">
        <v>50</v>
      </c>
      <c r="C165" s="60" t="s">
        <v>8</v>
      </c>
    </row>
    <row r="166" spans="1:3" x14ac:dyDescent="0.25">
      <c r="A166" s="19" t="s">
        <v>143</v>
      </c>
      <c r="B166" s="2">
        <v>550</v>
      </c>
      <c r="C166" s="60" t="s">
        <v>8</v>
      </c>
    </row>
    <row r="167" spans="1:3" x14ac:dyDescent="0.25">
      <c r="A167" s="22" t="s">
        <v>144</v>
      </c>
      <c r="B167" s="2">
        <v>0</v>
      </c>
      <c r="C167" s="60" t="s">
        <v>8</v>
      </c>
    </row>
    <row r="168" spans="1:3" x14ac:dyDescent="0.25">
      <c r="A168" s="19" t="s">
        <v>145</v>
      </c>
      <c r="B168" s="2">
        <v>200</v>
      </c>
      <c r="C168" s="60"/>
    </row>
    <row r="169" spans="1:3" x14ac:dyDescent="0.25">
      <c r="A169" s="19" t="s">
        <v>168</v>
      </c>
      <c r="B169" s="2">
        <v>450</v>
      </c>
      <c r="C169" s="60"/>
    </row>
    <row r="170" spans="1:3" ht="15.75" thickBot="1" x14ac:dyDescent="0.3">
      <c r="A170" s="19" t="s">
        <v>146</v>
      </c>
      <c r="B170" s="2">
        <v>50</v>
      </c>
      <c r="C170" s="60" t="s">
        <v>8</v>
      </c>
    </row>
    <row r="171" spans="1:3" ht="16.5" thickBot="1" x14ac:dyDescent="0.3">
      <c r="A171" s="29" t="s">
        <v>147</v>
      </c>
      <c r="B171" s="30">
        <v>5197</v>
      </c>
      <c r="C171" s="61"/>
    </row>
    <row r="172" spans="1:3" ht="16.5" thickBot="1" x14ac:dyDescent="0.3">
      <c r="A172" s="34" t="s">
        <v>148</v>
      </c>
      <c r="B172" s="35">
        <v>2712700.04</v>
      </c>
      <c r="C172" s="62"/>
    </row>
    <row r="173" spans="1:3" x14ac:dyDescent="0.25">
      <c r="B173" s="147" t="s">
        <v>179</v>
      </c>
      <c r="C173" s="147"/>
    </row>
    <row r="174" spans="1:3" x14ac:dyDescent="0.25">
      <c r="B174" s="147" t="s">
        <v>181</v>
      </c>
      <c r="C174" s="147"/>
    </row>
    <row r="175" spans="1:3" x14ac:dyDescent="0.25">
      <c r="B175" s="147"/>
      <c r="C175" s="147"/>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topLeftCell="A127" zoomScale="110" zoomScaleNormal="110" workbookViewId="0">
      <selection activeCell="G17" sqref="G17"/>
    </sheetView>
  </sheetViews>
  <sheetFormatPr defaultRowHeight="15" x14ac:dyDescent="0.25"/>
  <cols>
    <col min="1" max="1" width="54.7109375" customWidth="1"/>
    <col min="2" max="2" width="13.5703125" customWidth="1"/>
    <col min="3" max="3" width="12.7109375" customWidth="1"/>
  </cols>
  <sheetData>
    <row r="2" spans="1:3" x14ac:dyDescent="0.25">
      <c r="A2" s="148" t="s">
        <v>0</v>
      </c>
      <c r="B2" s="148"/>
      <c r="C2" s="148"/>
    </row>
    <row r="3" spans="1:3" x14ac:dyDescent="0.25">
      <c r="A3" s="149" t="s">
        <v>217</v>
      </c>
      <c r="B3" s="149"/>
      <c r="C3" s="149"/>
    </row>
    <row r="4" spans="1:3" ht="15.75" thickBot="1" x14ac:dyDescent="0.3">
      <c r="A4" s="59"/>
      <c r="B4" s="5" t="s">
        <v>1</v>
      </c>
      <c r="C4" s="129"/>
    </row>
    <row r="5" spans="1:3" ht="43.5" thickBot="1" x14ac:dyDescent="0.3">
      <c r="A5" s="24" t="s">
        <v>2</v>
      </c>
      <c r="B5" s="25" t="s">
        <v>5</v>
      </c>
      <c r="C5" s="57" t="s">
        <v>154</v>
      </c>
    </row>
    <row r="6" spans="1:3" ht="15.75" x14ac:dyDescent="0.25">
      <c r="A6" s="26" t="s">
        <v>6</v>
      </c>
      <c r="B6" s="28"/>
      <c r="C6" s="28"/>
    </row>
    <row r="7" spans="1:3" x14ac:dyDescent="0.25">
      <c r="A7" s="6" t="s">
        <v>9</v>
      </c>
      <c r="B7" s="2">
        <v>2726232</v>
      </c>
      <c r="C7" s="67" t="s">
        <v>7</v>
      </c>
    </row>
    <row r="8" spans="1:3" x14ac:dyDescent="0.25">
      <c r="A8" s="8" t="s">
        <v>10</v>
      </c>
      <c r="B8" s="2">
        <v>30703</v>
      </c>
      <c r="C8" s="67" t="s">
        <v>7</v>
      </c>
    </row>
    <row r="9" spans="1:3" x14ac:dyDescent="0.25">
      <c r="A9" s="8" t="s">
        <v>195</v>
      </c>
      <c r="B9" s="2">
        <v>67385</v>
      </c>
      <c r="C9" s="67" t="s">
        <v>8</v>
      </c>
    </row>
    <row r="10" spans="1:3" x14ac:dyDescent="0.25">
      <c r="A10" s="8" t="s">
        <v>169</v>
      </c>
      <c r="B10" s="2">
        <v>11177</v>
      </c>
      <c r="C10" s="67" t="s">
        <v>155</v>
      </c>
    </row>
    <row r="11" spans="1:3" x14ac:dyDescent="0.25">
      <c r="A11" s="8" t="s">
        <v>171</v>
      </c>
      <c r="B11" s="2">
        <v>139720</v>
      </c>
      <c r="C11" s="67" t="s">
        <v>202</v>
      </c>
    </row>
    <row r="12" spans="1:3" x14ac:dyDescent="0.25">
      <c r="A12" s="8" t="s">
        <v>196</v>
      </c>
      <c r="B12" s="2">
        <v>9004</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2995567</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2284333</v>
      </c>
      <c r="C19" s="63" t="s">
        <v>211</v>
      </c>
    </row>
    <row r="20" spans="1:3" ht="15.75" thickBot="1" x14ac:dyDescent="0.3">
      <c r="A20" s="39" t="s">
        <v>17</v>
      </c>
      <c r="B20" s="45">
        <v>56699</v>
      </c>
      <c r="C20" s="69" t="s">
        <v>155</v>
      </c>
    </row>
    <row r="21" spans="1:3" ht="15.75" thickBot="1" x14ac:dyDescent="0.3">
      <c r="A21" s="40" t="s">
        <v>18</v>
      </c>
      <c r="B21" s="45">
        <v>2040</v>
      </c>
      <c r="C21" s="67" t="s">
        <v>8</v>
      </c>
    </row>
    <row r="22" spans="1:3" ht="15.75" thickBot="1" x14ac:dyDescent="0.3">
      <c r="A22" s="41" t="s">
        <v>19</v>
      </c>
      <c r="B22" s="42">
        <v>47924</v>
      </c>
      <c r="C22" s="69" t="s">
        <v>155</v>
      </c>
    </row>
    <row r="23" spans="1:3" x14ac:dyDescent="0.25">
      <c r="A23" s="110" t="s">
        <v>177</v>
      </c>
      <c r="B23" s="75">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2700</v>
      </c>
      <c r="C27" s="60" t="s">
        <v>155</v>
      </c>
    </row>
    <row r="28" spans="1:3" ht="15.75" thickBot="1" x14ac:dyDescent="0.3">
      <c r="A28" s="8" t="s">
        <v>167</v>
      </c>
      <c r="B28" s="7">
        <v>26170</v>
      </c>
      <c r="C28" s="60" t="s">
        <v>155</v>
      </c>
    </row>
    <row r="29" spans="1:3" ht="15.75" thickBot="1" x14ac:dyDescent="0.3">
      <c r="A29" s="41" t="s">
        <v>24</v>
      </c>
      <c r="B29" s="45">
        <v>40035</v>
      </c>
      <c r="C29" s="60"/>
    </row>
    <row r="30" spans="1:3" x14ac:dyDescent="0.25">
      <c r="A30" s="10" t="s">
        <v>25</v>
      </c>
      <c r="B30" s="88">
        <v>39725</v>
      </c>
      <c r="C30" s="60" t="s">
        <v>155</v>
      </c>
    </row>
    <row r="31" spans="1:3" x14ac:dyDescent="0.25">
      <c r="A31" s="53" t="s">
        <v>178</v>
      </c>
      <c r="B31" s="9">
        <v>310</v>
      </c>
      <c r="C31" s="70" t="s">
        <v>8</v>
      </c>
    </row>
    <row r="32" spans="1:3" ht="15.75" thickBot="1" x14ac:dyDescent="0.3">
      <c r="A32" s="48" t="s">
        <v>26</v>
      </c>
      <c r="B32" s="86">
        <v>117502</v>
      </c>
      <c r="C32" s="70"/>
    </row>
    <row r="33" spans="1:3" x14ac:dyDescent="0.25">
      <c r="A33" s="71" t="s">
        <v>27</v>
      </c>
      <c r="B33" s="9">
        <v>2350</v>
      </c>
      <c r="C33" s="60" t="s">
        <v>155</v>
      </c>
    </row>
    <row r="34" spans="1:3" x14ac:dyDescent="0.25">
      <c r="A34" s="53" t="s">
        <v>28</v>
      </c>
      <c r="B34" s="9">
        <v>28142</v>
      </c>
      <c r="C34" s="60" t="s">
        <v>155</v>
      </c>
    </row>
    <row r="35" spans="1:3" x14ac:dyDescent="0.25">
      <c r="A35" s="53" t="s">
        <v>29</v>
      </c>
      <c r="B35" s="9">
        <v>17000</v>
      </c>
      <c r="C35" s="60" t="s">
        <v>155</v>
      </c>
    </row>
    <row r="36" spans="1:3" x14ac:dyDescent="0.25">
      <c r="A36" s="53" t="s">
        <v>30</v>
      </c>
      <c r="B36" s="9">
        <v>100</v>
      </c>
      <c r="C36" s="69" t="s">
        <v>7</v>
      </c>
    </row>
    <row r="37" spans="1:3" x14ac:dyDescent="0.25">
      <c r="A37" s="53" t="s">
        <v>31</v>
      </c>
      <c r="B37" s="9">
        <v>27450</v>
      </c>
      <c r="C37" s="69" t="s">
        <v>155</v>
      </c>
    </row>
    <row r="38" spans="1:3" x14ac:dyDescent="0.25">
      <c r="A38" s="53" t="s">
        <v>32</v>
      </c>
      <c r="B38" s="9">
        <v>7320</v>
      </c>
      <c r="C38" s="60" t="s">
        <v>7</v>
      </c>
    </row>
    <row r="39" spans="1:3" x14ac:dyDescent="0.25">
      <c r="A39" s="53" t="s">
        <v>33</v>
      </c>
      <c r="B39" s="9">
        <v>600</v>
      </c>
      <c r="C39" s="60" t="s">
        <v>7</v>
      </c>
    </row>
    <row r="40" spans="1:3" x14ac:dyDescent="0.25">
      <c r="A40" s="53" t="s">
        <v>34</v>
      </c>
      <c r="B40" s="9">
        <v>450</v>
      </c>
      <c r="C40" s="60" t="s">
        <v>7</v>
      </c>
    </row>
    <row r="41" spans="1:3" x14ac:dyDescent="0.25">
      <c r="A41" s="53" t="s">
        <v>35</v>
      </c>
      <c r="B41" s="9">
        <v>7100</v>
      </c>
      <c r="C41" s="60" t="s">
        <v>7</v>
      </c>
    </row>
    <row r="42" spans="1:3" x14ac:dyDescent="0.25">
      <c r="A42" s="53" t="s">
        <v>36</v>
      </c>
      <c r="B42" s="9">
        <v>9400</v>
      </c>
      <c r="C42" s="60" t="s">
        <v>155</v>
      </c>
    </row>
    <row r="43" spans="1:3" x14ac:dyDescent="0.25">
      <c r="A43" s="53" t="s">
        <v>37</v>
      </c>
      <c r="B43" s="9">
        <v>5000</v>
      </c>
      <c r="C43" s="60" t="s">
        <v>7</v>
      </c>
    </row>
    <row r="44" spans="1:3" x14ac:dyDescent="0.25">
      <c r="A44" s="53" t="s">
        <v>38</v>
      </c>
      <c r="B44" s="9">
        <v>2700</v>
      </c>
      <c r="C44" s="60" t="s">
        <v>7</v>
      </c>
    </row>
    <row r="45" spans="1:3" x14ac:dyDescent="0.25">
      <c r="A45" s="53" t="s">
        <v>39</v>
      </c>
      <c r="B45" s="9">
        <v>1400</v>
      </c>
      <c r="C45" s="60" t="s">
        <v>7</v>
      </c>
    </row>
    <row r="46" spans="1:3" x14ac:dyDescent="0.25">
      <c r="A46" s="53" t="s">
        <v>40</v>
      </c>
      <c r="B46" s="9">
        <v>0</v>
      </c>
      <c r="C46" s="60"/>
    </row>
    <row r="47" spans="1:3" x14ac:dyDescent="0.25">
      <c r="A47" s="53" t="s">
        <v>41</v>
      </c>
      <c r="B47" s="9">
        <v>700</v>
      </c>
      <c r="C47" s="60" t="s">
        <v>155</v>
      </c>
    </row>
    <row r="48" spans="1:3" x14ac:dyDescent="0.25">
      <c r="A48" s="53" t="s">
        <v>42</v>
      </c>
      <c r="B48" s="9">
        <v>500</v>
      </c>
      <c r="C48" s="60" t="s">
        <v>7</v>
      </c>
    </row>
    <row r="49" spans="1:3" x14ac:dyDescent="0.25">
      <c r="A49" s="53" t="s">
        <v>43</v>
      </c>
      <c r="B49" s="9">
        <v>600</v>
      </c>
      <c r="C49" s="60" t="s">
        <v>7</v>
      </c>
    </row>
    <row r="50" spans="1:3" x14ac:dyDescent="0.25">
      <c r="A50" s="53" t="s">
        <v>44</v>
      </c>
      <c r="B50" s="9">
        <v>3800</v>
      </c>
      <c r="C50" s="60" t="s">
        <v>7</v>
      </c>
    </row>
    <row r="51" spans="1:3" x14ac:dyDescent="0.25">
      <c r="A51" s="53" t="s">
        <v>45</v>
      </c>
      <c r="B51" s="9">
        <v>1550</v>
      </c>
      <c r="C51" s="60" t="s">
        <v>7</v>
      </c>
    </row>
    <row r="52" spans="1:3" x14ac:dyDescent="0.25">
      <c r="A52" s="53" t="s">
        <v>46</v>
      </c>
      <c r="B52" s="9">
        <v>280</v>
      </c>
      <c r="C52" s="60" t="s">
        <v>8</v>
      </c>
    </row>
    <row r="53" spans="1:3" x14ac:dyDescent="0.25">
      <c r="A53" s="53" t="s">
        <v>153</v>
      </c>
      <c r="B53" s="9">
        <v>360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1376</v>
      </c>
      <c r="C57" s="70"/>
    </row>
    <row r="58" spans="1:3" x14ac:dyDescent="0.25">
      <c r="A58" s="4" t="s">
        <v>51</v>
      </c>
      <c r="B58" s="7">
        <v>0</v>
      </c>
      <c r="C58" s="60"/>
    </row>
    <row r="59" spans="1:3" x14ac:dyDescent="0.25">
      <c r="A59" s="8" t="s">
        <v>52</v>
      </c>
      <c r="B59" s="7">
        <v>100</v>
      </c>
      <c r="C59" s="60" t="s">
        <v>8</v>
      </c>
    </row>
    <row r="60" spans="1:3" x14ac:dyDescent="0.25">
      <c r="A60" s="8" t="s">
        <v>53</v>
      </c>
      <c r="B60" s="7">
        <v>700</v>
      </c>
      <c r="C60" s="60" t="s">
        <v>8</v>
      </c>
    </row>
    <row r="61" spans="1:3" x14ac:dyDescent="0.25">
      <c r="A61" s="8" t="s">
        <v>54</v>
      </c>
      <c r="B61" s="7">
        <v>50</v>
      </c>
      <c r="C61" s="60" t="s">
        <v>8</v>
      </c>
    </row>
    <row r="62" spans="1:3" x14ac:dyDescent="0.25">
      <c r="A62" s="8" t="s">
        <v>55</v>
      </c>
      <c r="B62" s="7">
        <v>50</v>
      </c>
      <c r="C62" s="60" t="s">
        <v>8</v>
      </c>
    </row>
    <row r="63" spans="1:3" x14ac:dyDescent="0.25">
      <c r="A63" s="8" t="s">
        <v>56</v>
      </c>
      <c r="B63" s="7">
        <v>100</v>
      </c>
      <c r="C63" s="60" t="s">
        <v>8</v>
      </c>
    </row>
    <row r="64" spans="1:3" x14ac:dyDescent="0.25">
      <c r="A64" s="8" t="s">
        <v>57</v>
      </c>
      <c r="B64" s="7">
        <v>100</v>
      </c>
      <c r="C64" s="60" t="s">
        <v>8</v>
      </c>
    </row>
    <row r="65" spans="1:3" x14ac:dyDescent="0.25">
      <c r="A65" s="8" t="s">
        <v>58</v>
      </c>
      <c r="B65" s="7">
        <v>0</v>
      </c>
      <c r="C65" s="60" t="s">
        <v>8</v>
      </c>
    </row>
    <row r="66" spans="1:3" ht="15.75" thickBot="1" x14ac:dyDescent="0.3">
      <c r="A66" s="12" t="s">
        <v>59</v>
      </c>
      <c r="B66" s="7">
        <v>276</v>
      </c>
      <c r="C66" s="60" t="s">
        <v>8</v>
      </c>
    </row>
    <row r="67" spans="1:3" ht="15.75" thickBot="1" x14ac:dyDescent="0.3">
      <c r="A67" s="41" t="s">
        <v>60</v>
      </c>
      <c r="B67" s="44">
        <v>32553</v>
      </c>
      <c r="C67" s="60"/>
    </row>
    <row r="68" spans="1:3" x14ac:dyDescent="0.25">
      <c r="A68" s="14" t="s">
        <v>165</v>
      </c>
      <c r="B68" s="2">
        <v>0</v>
      </c>
      <c r="C68" s="60" t="s">
        <v>8</v>
      </c>
    </row>
    <row r="69" spans="1:3" x14ac:dyDescent="0.25">
      <c r="A69" s="14" t="s">
        <v>61</v>
      </c>
      <c r="B69" s="2">
        <v>300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5500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300</v>
      </c>
      <c r="C75" s="60" t="s">
        <v>8</v>
      </c>
    </row>
    <row r="76" spans="1:3" x14ac:dyDescent="0.25">
      <c r="A76" s="8" t="s">
        <v>68</v>
      </c>
      <c r="B76" s="2">
        <v>0</v>
      </c>
      <c r="C76" s="60" t="s">
        <v>8</v>
      </c>
    </row>
    <row r="77" spans="1:3" x14ac:dyDescent="0.25">
      <c r="A77" s="8" t="s">
        <v>69</v>
      </c>
      <c r="B77" s="2">
        <v>70</v>
      </c>
      <c r="C77" s="60" t="s">
        <v>8</v>
      </c>
    </row>
    <row r="78" spans="1:3" x14ac:dyDescent="0.25">
      <c r="A78" s="8" t="s">
        <v>70</v>
      </c>
      <c r="B78" s="2">
        <v>1200</v>
      </c>
      <c r="C78" s="60" t="s">
        <v>8</v>
      </c>
    </row>
    <row r="79" spans="1:3" x14ac:dyDescent="0.25">
      <c r="A79" s="8" t="s">
        <v>71</v>
      </c>
      <c r="B79" s="2">
        <v>150</v>
      </c>
      <c r="C79" s="60" t="s">
        <v>8</v>
      </c>
    </row>
    <row r="80" spans="1:3" x14ac:dyDescent="0.25">
      <c r="A80" s="8" t="s">
        <v>72</v>
      </c>
      <c r="B80" s="2">
        <v>150</v>
      </c>
      <c r="C80" s="60" t="s">
        <v>7</v>
      </c>
    </row>
    <row r="81" spans="1:3" x14ac:dyDescent="0.25">
      <c r="A81" s="8" t="s">
        <v>73</v>
      </c>
      <c r="B81" s="2">
        <v>760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1050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6047</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3152</v>
      </c>
      <c r="C91" s="60" t="s">
        <v>159</v>
      </c>
    </row>
    <row r="92" spans="1:3" ht="15.75" thickBot="1" x14ac:dyDescent="0.3">
      <c r="A92" s="41" t="s">
        <v>84</v>
      </c>
      <c r="B92" s="45">
        <v>12620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2800</v>
      </c>
      <c r="C95" s="60" t="s">
        <v>8</v>
      </c>
    </row>
    <row r="96" spans="1:3" x14ac:dyDescent="0.25">
      <c r="A96" s="8" t="s">
        <v>87</v>
      </c>
      <c r="B96" s="9">
        <v>3500</v>
      </c>
      <c r="C96" s="60" t="s">
        <v>155</v>
      </c>
    </row>
    <row r="97" spans="1:3" x14ac:dyDescent="0.25">
      <c r="A97" s="8" t="s">
        <v>88</v>
      </c>
      <c r="B97" s="9">
        <v>50</v>
      </c>
      <c r="C97" s="60" t="s">
        <v>8</v>
      </c>
    </row>
    <row r="98" spans="1:3" ht="15.75" thickBot="1" x14ac:dyDescent="0.3">
      <c r="A98" s="12" t="s">
        <v>89</v>
      </c>
      <c r="B98" s="2">
        <v>5570</v>
      </c>
      <c r="C98" s="60" t="s">
        <v>208</v>
      </c>
    </row>
    <row r="99" spans="1:3" ht="15.75" thickBot="1" x14ac:dyDescent="0.3">
      <c r="A99" s="41" t="s">
        <v>90</v>
      </c>
      <c r="B99" s="45">
        <v>32940</v>
      </c>
      <c r="C99" s="60"/>
    </row>
    <row r="100" spans="1:3" x14ac:dyDescent="0.25">
      <c r="A100" s="6" t="s">
        <v>91</v>
      </c>
      <c r="B100" s="9">
        <v>1000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300</v>
      </c>
      <c r="C103" s="60" t="s">
        <v>7</v>
      </c>
    </row>
    <row r="104" spans="1:3" x14ac:dyDescent="0.25">
      <c r="A104" s="8" t="s">
        <v>94</v>
      </c>
      <c r="B104" s="9">
        <v>1520</v>
      </c>
      <c r="C104" s="60" t="s">
        <v>7</v>
      </c>
    </row>
    <row r="105" spans="1:3" x14ac:dyDescent="0.25">
      <c r="A105" s="8" t="s">
        <v>95</v>
      </c>
      <c r="B105" s="9">
        <v>400</v>
      </c>
      <c r="C105" s="60" t="s">
        <v>7</v>
      </c>
    </row>
    <row r="106" spans="1:3" x14ac:dyDescent="0.25">
      <c r="A106" s="8" t="s">
        <v>96</v>
      </c>
      <c r="B106" s="9">
        <v>2360</v>
      </c>
      <c r="C106" s="60" t="s">
        <v>7</v>
      </c>
    </row>
    <row r="107" spans="1:3" x14ac:dyDescent="0.25">
      <c r="A107" s="8" t="s">
        <v>160</v>
      </c>
      <c r="B107" s="9">
        <v>0</v>
      </c>
      <c r="C107" s="60"/>
    </row>
    <row r="108" spans="1:3" x14ac:dyDescent="0.25">
      <c r="A108" s="8" t="s">
        <v>97</v>
      </c>
      <c r="B108" s="9">
        <v>2300</v>
      </c>
      <c r="C108" s="60" t="s">
        <v>7</v>
      </c>
    </row>
    <row r="109" spans="1:3" x14ac:dyDescent="0.25">
      <c r="A109" s="8" t="s">
        <v>98</v>
      </c>
      <c r="B109" s="9">
        <v>1200</v>
      </c>
      <c r="C109" s="60" t="s">
        <v>7</v>
      </c>
    </row>
    <row r="110" spans="1:3" x14ac:dyDescent="0.25">
      <c r="A110" s="8" t="s">
        <v>99</v>
      </c>
      <c r="B110" s="9">
        <v>7800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1700</v>
      </c>
      <c r="C113" s="60" t="s">
        <v>7</v>
      </c>
    </row>
    <row r="114" spans="1:3" x14ac:dyDescent="0.25">
      <c r="A114" s="8" t="s">
        <v>102</v>
      </c>
      <c r="B114" s="9">
        <v>1200</v>
      </c>
      <c r="C114" s="60" t="s">
        <v>7</v>
      </c>
    </row>
    <row r="115" spans="1:3" x14ac:dyDescent="0.25">
      <c r="A115" s="8" t="s">
        <v>103</v>
      </c>
      <c r="B115" s="9">
        <v>0</v>
      </c>
      <c r="C115" s="60" t="s">
        <v>7</v>
      </c>
    </row>
    <row r="116" spans="1:3" x14ac:dyDescent="0.25">
      <c r="A116" s="8" t="s">
        <v>104</v>
      </c>
      <c r="B116" s="9">
        <v>950</v>
      </c>
      <c r="C116" s="60" t="s">
        <v>7</v>
      </c>
    </row>
    <row r="117" spans="1:3" x14ac:dyDescent="0.25">
      <c r="A117" s="8" t="s">
        <v>105</v>
      </c>
      <c r="B117" s="9">
        <v>100</v>
      </c>
      <c r="C117" s="60" t="s">
        <v>7</v>
      </c>
    </row>
    <row r="118" spans="1:3" x14ac:dyDescent="0.25">
      <c r="A118" s="8" t="s">
        <v>106</v>
      </c>
      <c r="B118" s="9">
        <v>1200</v>
      </c>
      <c r="C118" s="60" t="s">
        <v>7</v>
      </c>
    </row>
    <row r="119" spans="1:3" x14ac:dyDescent="0.25">
      <c r="A119" s="8" t="s">
        <v>107</v>
      </c>
      <c r="B119" s="9">
        <v>4000</v>
      </c>
      <c r="C119" s="60" t="s">
        <v>203</v>
      </c>
    </row>
    <row r="120" spans="1:3" x14ac:dyDescent="0.25">
      <c r="A120" s="23" t="s">
        <v>108</v>
      </c>
      <c r="B120" s="9">
        <v>2120</v>
      </c>
      <c r="C120" s="60" t="s">
        <v>7</v>
      </c>
    </row>
    <row r="121" spans="1:3" x14ac:dyDescent="0.25">
      <c r="A121" s="8" t="s">
        <v>109</v>
      </c>
      <c r="B121" s="9">
        <v>600</v>
      </c>
      <c r="C121" s="60" t="s">
        <v>7</v>
      </c>
    </row>
    <row r="122" spans="1:3" x14ac:dyDescent="0.25">
      <c r="A122" s="8" t="s">
        <v>110</v>
      </c>
      <c r="B122" s="9">
        <v>1400</v>
      </c>
      <c r="C122" s="60" t="s">
        <v>8</v>
      </c>
    </row>
    <row r="123" spans="1:3" ht="15.75" thickBot="1" x14ac:dyDescent="0.3">
      <c r="A123" s="12" t="s">
        <v>111</v>
      </c>
      <c r="B123" s="9">
        <v>1200</v>
      </c>
      <c r="C123" s="60" t="s">
        <v>7</v>
      </c>
    </row>
    <row r="124" spans="1:3" ht="15.75" thickBot="1" x14ac:dyDescent="0.3">
      <c r="A124" s="41" t="s">
        <v>112</v>
      </c>
      <c r="B124" s="45">
        <v>219658</v>
      </c>
      <c r="C124" s="60"/>
    </row>
    <row r="125" spans="1:3" x14ac:dyDescent="0.25">
      <c r="A125" s="6" t="s">
        <v>113</v>
      </c>
      <c r="B125" s="9">
        <v>8850</v>
      </c>
      <c r="C125" s="60" t="s">
        <v>155</v>
      </c>
    </row>
    <row r="126" spans="1:3" x14ac:dyDescent="0.25">
      <c r="A126" s="8" t="s">
        <v>114</v>
      </c>
      <c r="B126" s="9">
        <v>150</v>
      </c>
      <c r="C126" s="60" t="s">
        <v>7</v>
      </c>
    </row>
    <row r="127" spans="1:3" x14ac:dyDescent="0.25">
      <c r="A127" s="8" t="s">
        <v>162</v>
      </c>
      <c r="B127" s="9">
        <v>1200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11760</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38014</v>
      </c>
      <c r="C135" s="60" t="s">
        <v>155</v>
      </c>
    </row>
    <row r="136" spans="1:3" x14ac:dyDescent="0.25">
      <c r="A136" s="8" t="s">
        <v>122</v>
      </c>
      <c r="B136" s="9">
        <v>62140</v>
      </c>
      <c r="C136" s="60" t="s">
        <v>155</v>
      </c>
    </row>
    <row r="137" spans="1:3" x14ac:dyDescent="0.25">
      <c r="A137" s="8" t="s">
        <v>158</v>
      </c>
      <c r="B137" s="9">
        <v>76693</v>
      </c>
      <c r="C137" s="60" t="s">
        <v>7</v>
      </c>
    </row>
    <row r="138" spans="1:3" x14ac:dyDescent="0.25">
      <c r="A138" s="8" t="s">
        <v>123</v>
      </c>
      <c r="B138" s="9">
        <v>2464</v>
      </c>
      <c r="C138" s="60" t="s">
        <v>155</v>
      </c>
    </row>
    <row r="139" spans="1:3" x14ac:dyDescent="0.25">
      <c r="A139" s="8" t="s">
        <v>124</v>
      </c>
      <c r="B139" s="9">
        <v>3100</v>
      </c>
      <c r="C139" s="60" t="s">
        <v>7</v>
      </c>
    </row>
    <row r="140" spans="1:3" x14ac:dyDescent="0.25">
      <c r="A140" s="8" t="s">
        <v>125</v>
      </c>
      <c r="B140" s="9">
        <v>1600</v>
      </c>
      <c r="C140" s="60" t="s">
        <v>7</v>
      </c>
    </row>
    <row r="141" spans="1:3" x14ac:dyDescent="0.25">
      <c r="A141" s="8" t="s">
        <v>164</v>
      </c>
      <c r="B141" s="9">
        <v>128</v>
      </c>
      <c r="C141" s="60" t="s">
        <v>7</v>
      </c>
    </row>
    <row r="142" spans="1:3" x14ac:dyDescent="0.25">
      <c r="A142" s="8" t="s">
        <v>126</v>
      </c>
      <c r="B142" s="9">
        <v>1700</v>
      </c>
      <c r="C142" s="60" t="s">
        <v>155</v>
      </c>
    </row>
    <row r="143" spans="1:3" x14ac:dyDescent="0.25">
      <c r="A143" s="8" t="s">
        <v>127</v>
      </c>
      <c r="B143" s="9">
        <v>1600</v>
      </c>
      <c r="C143" s="60" t="s">
        <v>7</v>
      </c>
    </row>
    <row r="144" spans="1:3" x14ac:dyDescent="0.25">
      <c r="A144" s="8" t="s">
        <v>128</v>
      </c>
      <c r="B144" s="9">
        <v>5900</v>
      </c>
      <c r="C144" s="60" t="s">
        <v>155</v>
      </c>
    </row>
    <row r="145" spans="1:3" ht="15.75" thickBot="1" x14ac:dyDescent="0.3">
      <c r="A145" s="17" t="s">
        <v>129</v>
      </c>
      <c r="B145" s="9">
        <v>839</v>
      </c>
      <c r="C145" s="60" t="s">
        <v>159</v>
      </c>
    </row>
    <row r="146" spans="1:3" ht="15.75" thickBot="1" x14ac:dyDescent="0.3">
      <c r="A146" s="47" t="s">
        <v>152</v>
      </c>
      <c r="B146" s="72">
        <v>1985</v>
      </c>
      <c r="C146" s="60" t="s">
        <v>8</v>
      </c>
    </row>
    <row r="147" spans="1:3" ht="15.75" thickBot="1" x14ac:dyDescent="0.3">
      <c r="A147" s="48" t="s">
        <v>130</v>
      </c>
      <c r="B147" s="72">
        <v>3700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800</v>
      </c>
      <c r="C154" s="60" t="s">
        <v>8</v>
      </c>
    </row>
    <row r="155" spans="1:3" ht="16.5" thickBot="1" x14ac:dyDescent="0.3">
      <c r="A155" s="29" t="s">
        <v>136</v>
      </c>
      <c r="B155" s="30">
        <v>2857665</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4000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38637</v>
      </c>
      <c r="C163" s="60" t="s">
        <v>159</v>
      </c>
    </row>
    <row r="164" spans="1:3" x14ac:dyDescent="0.25">
      <c r="A164" s="21" t="s">
        <v>142</v>
      </c>
      <c r="B164" s="2">
        <v>2449</v>
      </c>
      <c r="C164" s="60" t="s">
        <v>204</v>
      </c>
    </row>
    <row r="165" spans="1:3" x14ac:dyDescent="0.25">
      <c r="A165" s="21" t="s">
        <v>176</v>
      </c>
      <c r="B165" s="2">
        <v>563</v>
      </c>
      <c r="C165" s="60" t="s">
        <v>8</v>
      </c>
    </row>
    <row r="166" spans="1:3" x14ac:dyDescent="0.25">
      <c r="A166" s="19" t="s">
        <v>143</v>
      </c>
      <c r="B166" s="2">
        <v>600</v>
      </c>
      <c r="C166" s="60" t="s">
        <v>8</v>
      </c>
    </row>
    <row r="167" spans="1:3" x14ac:dyDescent="0.25">
      <c r="A167" s="22" t="s">
        <v>144</v>
      </c>
      <c r="B167" s="2">
        <v>61572</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137902</v>
      </c>
      <c r="C171" s="61"/>
    </row>
    <row r="172" spans="1:3" ht="16.5" thickBot="1" x14ac:dyDescent="0.3">
      <c r="A172" s="34" t="s">
        <v>148</v>
      </c>
      <c r="B172" s="35">
        <v>2995567</v>
      </c>
      <c r="C172" s="62"/>
    </row>
    <row r="173" spans="1:3" x14ac:dyDescent="0.25">
      <c r="B173" s="147" t="s">
        <v>179</v>
      </c>
      <c r="C173" s="147"/>
    </row>
    <row r="174" spans="1:3" x14ac:dyDescent="0.25">
      <c r="B174" s="147" t="s">
        <v>181</v>
      </c>
      <c r="C174" s="147"/>
    </row>
    <row r="175" spans="1:3" x14ac:dyDescent="0.25">
      <c r="B175" s="147"/>
      <c r="C175" s="147"/>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77"/>
  <sheetViews>
    <sheetView topLeftCell="B1" zoomScale="120" zoomScaleNormal="120" workbookViewId="0">
      <selection activeCell="B174" sqref="B174:I174"/>
    </sheetView>
  </sheetViews>
  <sheetFormatPr defaultRowHeight="15" x14ac:dyDescent="0.25"/>
  <cols>
    <col min="1" max="1" width="0.85546875" hidden="1" customWidth="1"/>
    <col min="2" max="2" width="47.42578125" customWidth="1"/>
    <col min="3" max="3" width="11.42578125" customWidth="1"/>
    <col min="4" max="4" width="9.140625" customWidth="1"/>
    <col min="5" max="7" width="7.85546875" customWidth="1"/>
    <col min="8" max="8" width="8.28515625" customWidth="1"/>
    <col min="9" max="9" width="12.42578125" customWidth="1"/>
    <col min="13" max="13" width="14.7109375" customWidth="1"/>
  </cols>
  <sheetData>
    <row r="1" spans="2:12" ht="9.75" customHeight="1" x14ac:dyDescent="0.25"/>
    <row r="2" spans="2:12" x14ac:dyDescent="0.25">
      <c r="B2" s="144" t="s">
        <v>0</v>
      </c>
      <c r="C2" s="144"/>
      <c r="D2" s="144"/>
      <c r="E2" s="144"/>
      <c r="F2" s="144"/>
      <c r="G2" s="144"/>
      <c r="H2" s="144"/>
      <c r="I2" s="144"/>
    </row>
    <row r="3" spans="2:12" x14ac:dyDescent="0.25">
      <c r="B3" s="145" t="s">
        <v>218</v>
      </c>
      <c r="C3" s="145"/>
      <c r="D3" s="145"/>
      <c r="E3" s="145"/>
      <c r="F3" s="145"/>
      <c r="G3" s="145"/>
      <c r="H3" s="145"/>
      <c r="I3" s="145"/>
    </row>
    <row r="4" spans="2:12" ht="16.5" thickBot="1" x14ac:dyDescent="0.3">
      <c r="B4" s="3"/>
      <c r="C4" s="3"/>
      <c r="D4" s="3"/>
      <c r="E4" s="3"/>
      <c r="F4" s="3"/>
      <c r="G4" s="3"/>
      <c r="H4" s="3"/>
      <c r="I4" s="5" t="s">
        <v>1</v>
      </c>
    </row>
    <row r="5" spans="2:12" ht="82.5" thickBot="1" x14ac:dyDescent="0.3">
      <c r="B5" s="24" t="s">
        <v>2</v>
      </c>
      <c r="C5" s="33" t="s">
        <v>3</v>
      </c>
      <c r="D5" s="33" t="s">
        <v>186</v>
      </c>
      <c r="E5" s="33" t="s">
        <v>4</v>
      </c>
      <c r="F5" s="33" t="s">
        <v>197</v>
      </c>
      <c r="G5" s="33" t="s">
        <v>220</v>
      </c>
      <c r="H5" s="33" t="s">
        <v>186</v>
      </c>
      <c r="I5" s="25" t="s">
        <v>5</v>
      </c>
    </row>
    <row r="6" spans="2:12" ht="15.75" x14ac:dyDescent="0.25">
      <c r="B6" s="26" t="s">
        <v>6</v>
      </c>
      <c r="C6" s="95" t="s">
        <v>7</v>
      </c>
      <c r="D6" s="27" t="s">
        <v>199</v>
      </c>
      <c r="E6" s="27" t="s">
        <v>8</v>
      </c>
      <c r="F6" s="27" t="s">
        <v>198</v>
      </c>
      <c r="G6" s="95" t="s">
        <v>219</v>
      </c>
      <c r="H6" s="76">
        <v>13</v>
      </c>
      <c r="I6" s="28"/>
    </row>
    <row r="7" spans="2:12" x14ac:dyDescent="0.25">
      <c r="B7" s="6" t="s">
        <v>9</v>
      </c>
      <c r="C7" s="75">
        <f>2155096+335323+29000+C23+C30+70000+2965+13592+3162+31770</f>
        <v>2726232</v>
      </c>
      <c r="D7" s="109"/>
      <c r="E7" s="7"/>
      <c r="F7" s="64"/>
      <c r="G7" s="9"/>
      <c r="H7" s="9"/>
      <c r="I7" s="2">
        <f>SUM(C7:H7)</f>
        <v>2726232</v>
      </c>
    </row>
    <row r="8" spans="2:12" x14ac:dyDescent="0.25">
      <c r="B8" s="8" t="s">
        <v>10</v>
      </c>
      <c r="C8" s="73">
        <f>28311+2392</f>
        <v>30703</v>
      </c>
      <c r="D8" s="73"/>
      <c r="E8" s="9"/>
      <c r="F8" s="64"/>
      <c r="G8" s="64"/>
      <c r="H8" s="64"/>
      <c r="I8" s="2">
        <f t="shared" ref="I8:I14" si="0">SUM(C8:H8)</f>
        <v>30703</v>
      </c>
    </row>
    <row r="9" spans="2:12" x14ac:dyDescent="0.25">
      <c r="B9" s="8" t="s">
        <v>195</v>
      </c>
      <c r="C9" s="9"/>
      <c r="D9" s="9"/>
      <c r="E9" s="9">
        <f>54750+2000+2500+530+750+670-3000-930-1070+550+1775+2000+6860</f>
        <v>67385</v>
      </c>
      <c r="F9" s="64"/>
      <c r="G9" s="64"/>
      <c r="H9" s="64"/>
      <c r="I9" s="2">
        <f t="shared" si="0"/>
        <v>67385</v>
      </c>
    </row>
    <row r="10" spans="2:12" x14ac:dyDescent="0.25">
      <c r="B10" s="8" t="s">
        <v>169</v>
      </c>
      <c r="C10" s="9">
        <f>2527</f>
        <v>2527</v>
      </c>
      <c r="D10" s="9"/>
      <c r="E10" s="9">
        <f>4500+3000+250+900</f>
        <v>8650</v>
      </c>
      <c r="F10" s="64"/>
      <c r="G10" s="64"/>
      <c r="H10" s="64"/>
      <c r="I10" s="2">
        <f t="shared" si="0"/>
        <v>11177</v>
      </c>
    </row>
    <row r="11" spans="2:12" x14ac:dyDescent="0.25">
      <c r="B11" s="8" t="s">
        <v>170</v>
      </c>
      <c r="C11" s="9"/>
      <c r="D11" s="102">
        <f>80011+700+4000+48410</f>
        <v>133121</v>
      </c>
      <c r="E11" s="9"/>
      <c r="F11" s="64">
        <f>729+4000+1870</f>
        <v>6599</v>
      </c>
      <c r="G11" s="64"/>
      <c r="H11" s="64"/>
      <c r="I11" s="2">
        <f>SUM(C11:H11)</f>
        <v>139720</v>
      </c>
    </row>
    <row r="12" spans="2:12" x14ac:dyDescent="0.25">
      <c r="B12" s="8" t="s">
        <v>196</v>
      </c>
      <c r="C12" s="9"/>
      <c r="D12" s="102">
        <f>8323+3450</f>
        <v>11773</v>
      </c>
      <c r="E12" s="9"/>
      <c r="F12" s="64">
        <f>500+181</f>
        <v>681</v>
      </c>
      <c r="G12" s="64"/>
      <c r="H12" s="64"/>
      <c r="I12" s="2">
        <f t="shared" si="0"/>
        <v>12454</v>
      </c>
      <c r="L12" s="56"/>
    </row>
    <row r="13" spans="2:12" x14ac:dyDescent="0.25">
      <c r="B13" s="8" t="s">
        <v>221</v>
      </c>
      <c r="C13" s="1"/>
      <c r="D13" s="114"/>
      <c r="E13" s="1"/>
      <c r="F13" s="64"/>
      <c r="G13" s="106">
        <v>14748</v>
      </c>
      <c r="H13" s="64"/>
      <c r="I13" s="2">
        <f t="shared" si="0"/>
        <v>14748</v>
      </c>
      <c r="L13" s="56"/>
    </row>
    <row r="14" spans="2:12" x14ac:dyDescent="0.25">
      <c r="B14" s="8" t="s">
        <v>13</v>
      </c>
      <c r="C14" s="1">
        <f>2479+27+105</f>
        <v>2611</v>
      </c>
      <c r="D14" s="1"/>
      <c r="E14" s="1">
        <v>5650</v>
      </c>
      <c r="F14" s="9"/>
      <c r="G14" s="9"/>
      <c r="H14" s="9"/>
      <c r="I14" s="2">
        <f t="shared" si="0"/>
        <v>8261</v>
      </c>
    </row>
    <row r="15" spans="2:12" ht="15.75" thickBot="1" x14ac:dyDescent="0.3">
      <c r="B15" s="10" t="s">
        <v>172</v>
      </c>
      <c r="C15" s="1"/>
      <c r="D15" s="1"/>
      <c r="E15" s="1"/>
      <c r="F15" s="37"/>
      <c r="G15" s="37"/>
      <c r="H15" s="37">
        <f>2797+288</f>
        <v>3085</v>
      </c>
      <c r="I15" s="2">
        <f>SUM(C15:H15)</f>
        <v>3085</v>
      </c>
    </row>
    <row r="16" spans="2:12" ht="16.5" thickBot="1" x14ac:dyDescent="0.3">
      <c r="B16" s="29" t="s">
        <v>14</v>
      </c>
      <c r="C16" s="30">
        <f>SUM(C7:C15)</f>
        <v>2762073</v>
      </c>
      <c r="D16" s="30">
        <f>SUM(D7:D15)</f>
        <v>144894</v>
      </c>
      <c r="E16" s="30">
        <f>SUM(E7:E15)</f>
        <v>81685</v>
      </c>
      <c r="F16" s="30">
        <f t="shared" ref="F16:H16" si="1">SUM(F7:F15)</f>
        <v>7280</v>
      </c>
      <c r="G16" s="30">
        <f t="shared" si="1"/>
        <v>14748</v>
      </c>
      <c r="H16" s="30">
        <f t="shared" si="1"/>
        <v>3085</v>
      </c>
      <c r="I16" s="30">
        <f>SUM(I7:I15)</f>
        <v>3013765</v>
      </c>
    </row>
    <row r="17" spans="2:11" ht="6.75" customHeight="1" thickBot="1" x14ac:dyDescent="0.3">
      <c r="B17" s="3"/>
      <c r="C17" s="11"/>
      <c r="D17" s="11"/>
      <c r="E17" s="11"/>
      <c r="F17" s="11"/>
      <c r="G17" s="11"/>
      <c r="H17" s="11"/>
      <c r="I17" s="11"/>
    </row>
    <row r="18" spans="2:11" ht="82.5" thickBot="1" x14ac:dyDescent="0.3">
      <c r="B18" s="24" t="s">
        <v>15</v>
      </c>
      <c r="C18" s="33" t="s">
        <v>3</v>
      </c>
      <c r="D18" s="33" t="s">
        <v>186</v>
      </c>
      <c r="E18" s="33" t="s">
        <v>4</v>
      </c>
      <c r="F18" s="33" t="s">
        <v>197</v>
      </c>
      <c r="G18" s="33" t="s">
        <v>220</v>
      </c>
      <c r="H18" s="33" t="s">
        <v>186</v>
      </c>
      <c r="I18" s="25" t="s">
        <v>5</v>
      </c>
    </row>
    <row r="19" spans="2:11" ht="16.5" thickBot="1" x14ac:dyDescent="0.3">
      <c r="B19" s="31" t="s">
        <v>6</v>
      </c>
      <c r="C19" s="31" t="s">
        <v>7</v>
      </c>
      <c r="D19" s="27" t="s">
        <v>199</v>
      </c>
      <c r="E19" s="27" t="s">
        <v>8</v>
      </c>
      <c r="F19" s="95" t="s">
        <v>198</v>
      </c>
      <c r="G19" s="95" t="s">
        <v>219</v>
      </c>
      <c r="H19" s="76">
        <v>13</v>
      </c>
      <c r="I19" s="28"/>
    </row>
    <row r="20" spans="2:11" ht="15.75" thickBot="1" x14ac:dyDescent="0.3">
      <c r="B20" s="41" t="s">
        <v>16</v>
      </c>
      <c r="C20" s="45">
        <f>1870011+313095+70000</f>
        <v>2253106</v>
      </c>
      <c r="D20" s="105">
        <f>80+5678+1893</f>
        <v>7651</v>
      </c>
      <c r="E20" s="105">
        <f>22550-550+3000-1000</f>
        <v>24000</v>
      </c>
      <c r="F20" s="45">
        <v>181</v>
      </c>
      <c r="G20" s="45"/>
      <c r="H20" s="45">
        <v>288</v>
      </c>
      <c r="I20" s="45">
        <f>SUM(C20:H20)</f>
        <v>2285226</v>
      </c>
    </row>
    <row r="21" spans="2:11" ht="15.75" thickBot="1" x14ac:dyDescent="0.3">
      <c r="B21" s="41" t="s">
        <v>17</v>
      </c>
      <c r="C21" s="45">
        <f>48936+7363</f>
        <v>56299</v>
      </c>
      <c r="D21" s="45"/>
      <c r="E21" s="45">
        <v>400</v>
      </c>
      <c r="F21" s="45"/>
      <c r="G21" s="45"/>
      <c r="H21" s="45"/>
      <c r="I21" s="45">
        <f t="shared" ref="I21:I22" si="2">SUM(C21:H21)</f>
        <v>56699</v>
      </c>
      <c r="K21" s="56"/>
    </row>
    <row r="22" spans="2:11" ht="15.75" thickBot="1" x14ac:dyDescent="0.3">
      <c r="B22" s="41" t="s">
        <v>18</v>
      </c>
      <c r="C22" s="45"/>
      <c r="D22" s="45"/>
      <c r="E22" s="105">
        <f>1800+100+140+500</f>
        <v>2540</v>
      </c>
      <c r="F22" s="45"/>
      <c r="G22" s="45"/>
      <c r="H22" s="45"/>
      <c r="I22" s="45">
        <f t="shared" si="2"/>
        <v>2540</v>
      </c>
    </row>
    <row r="23" spans="2:11" ht="15.75" thickBot="1" x14ac:dyDescent="0.3">
      <c r="B23" s="41" t="s">
        <v>19</v>
      </c>
      <c r="C23" s="42">
        <f>+C25+C26+C27+C28+C29+C24</f>
        <v>45824</v>
      </c>
      <c r="D23" s="42"/>
      <c r="E23" s="42">
        <f t="shared" ref="E23:H23" si="3">+E25+E26+E27+E28+E29</f>
        <v>2100</v>
      </c>
      <c r="F23" s="42"/>
      <c r="G23" s="42"/>
      <c r="H23" s="42">
        <f t="shared" si="3"/>
        <v>0</v>
      </c>
      <c r="I23" s="42">
        <f>+I24+I25+I26+I27+I28+I29</f>
        <v>47924</v>
      </c>
    </row>
    <row r="24" spans="2:11" s="111" customFormat="1" x14ac:dyDescent="0.25">
      <c r="B24" s="110" t="s">
        <v>177</v>
      </c>
      <c r="C24" s="73">
        <v>104</v>
      </c>
      <c r="D24" s="73"/>
      <c r="E24" s="73"/>
      <c r="F24" s="75"/>
      <c r="G24" s="75"/>
      <c r="H24" s="75"/>
      <c r="I24" s="75">
        <f>SUM(C24:H24)</f>
        <v>104</v>
      </c>
    </row>
    <row r="25" spans="2:11" x14ac:dyDescent="0.25">
      <c r="B25" s="6" t="s">
        <v>20</v>
      </c>
      <c r="C25" s="9"/>
      <c r="D25" s="9"/>
      <c r="E25" s="9">
        <v>600</v>
      </c>
      <c r="F25" s="7"/>
      <c r="G25" s="7"/>
      <c r="H25" s="7"/>
      <c r="I25" s="7">
        <f>SUM(C25:H25)</f>
        <v>600</v>
      </c>
    </row>
    <row r="26" spans="2:11" x14ac:dyDescent="0.25">
      <c r="B26" s="8" t="s">
        <v>185</v>
      </c>
      <c r="C26" s="73">
        <f>7650+9700</f>
        <v>17350</v>
      </c>
      <c r="D26" s="73"/>
      <c r="E26" s="9">
        <v>400</v>
      </c>
      <c r="F26" s="7"/>
      <c r="G26" s="7"/>
      <c r="H26" s="7"/>
      <c r="I26" s="7">
        <f t="shared" ref="I26:I29" si="4">SUM(C26:H26)</f>
        <v>17750</v>
      </c>
    </row>
    <row r="27" spans="2:11" x14ac:dyDescent="0.25">
      <c r="B27" s="8" t="s">
        <v>22</v>
      </c>
      <c r="C27" s="9">
        <f>250-53+303</f>
        <v>500</v>
      </c>
      <c r="D27" s="9"/>
      <c r="E27" s="9">
        <v>100</v>
      </c>
      <c r="F27" s="7"/>
      <c r="G27" s="7"/>
      <c r="H27" s="7"/>
      <c r="I27" s="7">
        <f t="shared" si="4"/>
        <v>600</v>
      </c>
    </row>
    <row r="28" spans="2:11" x14ac:dyDescent="0.25">
      <c r="B28" s="12" t="s">
        <v>23</v>
      </c>
      <c r="C28" s="1">
        <f>750+150+500+1200</f>
        <v>2600</v>
      </c>
      <c r="D28" s="1"/>
      <c r="E28" s="1">
        <v>100</v>
      </c>
      <c r="F28" s="9"/>
      <c r="G28" s="9"/>
      <c r="H28" s="9"/>
      <c r="I28" s="7">
        <f t="shared" si="4"/>
        <v>2700</v>
      </c>
    </row>
    <row r="29" spans="2:11" ht="15.75" thickBot="1" x14ac:dyDescent="0.3">
      <c r="B29" s="8" t="s">
        <v>167</v>
      </c>
      <c r="C29" s="74">
        <f>5600+17774-104+2000</f>
        <v>25270</v>
      </c>
      <c r="D29" s="74"/>
      <c r="E29" s="74">
        <v>900</v>
      </c>
      <c r="F29" s="90"/>
      <c r="G29" s="90"/>
      <c r="H29" s="13"/>
      <c r="I29" s="7">
        <f t="shared" si="4"/>
        <v>26170</v>
      </c>
    </row>
    <row r="30" spans="2:11" ht="15.75" thickBot="1" x14ac:dyDescent="0.3">
      <c r="B30" s="41" t="s">
        <v>24</v>
      </c>
      <c r="C30" s="45">
        <f t="shared" ref="C30" si="5">+C31</f>
        <v>39500</v>
      </c>
      <c r="D30" s="45"/>
      <c r="E30" s="135">
        <f>+E31+E32</f>
        <v>535</v>
      </c>
      <c r="F30" s="44"/>
      <c r="G30" s="44"/>
      <c r="H30" s="44"/>
      <c r="I30" s="45">
        <f>I31+I32</f>
        <v>40035</v>
      </c>
    </row>
    <row r="31" spans="2:11" x14ac:dyDescent="0.25">
      <c r="B31" s="10" t="s">
        <v>25</v>
      </c>
      <c r="C31" s="13">
        <f>29500+10000</f>
        <v>39500</v>
      </c>
      <c r="D31" s="37"/>
      <c r="E31" s="98">
        <f>200+25</f>
        <v>225</v>
      </c>
      <c r="F31" s="37"/>
      <c r="G31" s="37"/>
      <c r="H31" s="7"/>
      <c r="I31" s="88">
        <f>SUM(C31:E31)</f>
        <v>39725</v>
      </c>
    </row>
    <row r="32" spans="2:11" x14ac:dyDescent="0.25">
      <c r="B32" s="53" t="s">
        <v>178</v>
      </c>
      <c r="C32" s="9"/>
      <c r="D32" s="9"/>
      <c r="E32" s="9">
        <v>310</v>
      </c>
      <c r="F32" s="9"/>
      <c r="G32" s="9"/>
      <c r="H32" s="9"/>
      <c r="I32" s="9">
        <f>SUM(C32:E32)</f>
        <v>310</v>
      </c>
    </row>
    <row r="33" spans="2:12" ht="15.75" thickBot="1" x14ac:dyDescent="0.3">
      <c r="B33" s="48" t="s">
        <v>26</v>
      </c>
      <c r="C33" s="86">
        <f>SUM(C34:C57)</f>
        <v>103297</v>
      </c>
      <c r="D33" s="86"/>
      <c r="E33" s="86">
        <f t="shared" ref="E33" si="6">SUM(E34:E57)</f>
        <v>10485</v>
      </c>
      <c r="F33" s="86"/>
      <c r="G33" s="86"/>
      <c r="H33" s="86"/>
      <c r="I33" s="86">
        <f>SUM(I34:I57)</f>
        <v>113782</v>
      </c>
    </row>
    <row r="34" spans="2:12" x14ac:dyDescent="0.25">
      <c r="B34" s="53" t="s">
        <v>27</v>
      </c>
      <c r="C34" s="9">
        <v>2000</v>
      </c>
      <c r="D34" s="9"/>
      <c r="E34" s="9">
        <f>200+100+50</f>
        <v>350</v>
      </c>
      <c r="F34" s="9"/>
      <c r="G34" s="9"/>
      <c r="H34" s="9"/>
      <c r="I34" s="9">
        <f>SUM(C34:H34)</f>
        <v>2350</v>
      </c>
    </row>
    <row r="35" spans="2:12" x14ac:dyDescent="0.25">
      <c r="B35" s="53" t="s">
        <v>28</v>
      </c>
      <c r="C35" s="104">
        <f>27392+100+2000+300+500</f>
        <v>30292</v>
      </c>
      <c r="D35" s="73"/>
      <c r="E35" s="104">
        <f>500+250-250</f>
        <v>500</v>
      </c>
      <c r="F35" s="66"/>
      <c r="G35" s="66"/>
      <c r="H35" s="9"/>
      <c r="I35" s="9">
        <f t="shared" ref="I35:I57" si="7">SUM(C35:H35)</f>
        <v>30792</v>
      </c>
    </row>
    <row r="36" spans="2:12" x14ac:dyDescent="0.25">
      <c r="B36" s="53" t="s">
        <v>29</v>
      </c>
      <c r="C36" s="104">
        <f>11000+1500+1000-800</f>
        <v>12700</v>
      </c>
      <c r="D36" s="73"/>
      <c r="E36" s="104">
        <f>100+1400-800</f>
        <v>700</v>
      </c>
      <c r="F36" s="66"/>
      <c r="G36" s="66"/>
      <c r="H36" s="9"/>
      <c r="I36" s="9">
        <f t="shared" si="7"/>
        <v>13400</v>
      </c>
    </row>
    <row r="37" spans="2:12" x14ac:dyDescent="0.25">
      <c r="B37" s="53" t="s">
        <v>30</v>
      </c>
      <c r="C37" s="73">
        <v>100</v>
      </c>
      <c r="D37" s="73"/>
      <c r="E37" s="9"/>
      <c r="F37" s="9"/>
      <c r="G37" s="9"/>
      <c r="H37" s="9"/>
      <c r="I37" s="9">
        <f t="shared" si="7"/>
        <v>100</v>
      </c>
      <c r="K37" s="56"/>
    </row>
    <row r="38" spans="2:12" x14ac:dyDescent="0.25">
      <c r="B38" s="53" t="s">
        <v>31</v>
      </c>
      <c r="C38" s="104">
        <f>21000+2000-1000-1300+200</f>
        <v>20900</v>
      </c>
      <c r="D38" s="73"/>
      <c r="E38" s="108">
        <f>2500+1600+350-150</f>
        <v>4300</v>
      </c>
      <c r="F38" s="66"/>
      <c r="G38" s="66"/>
      <c r="H38" s="9"/>
      <c r="I38" s="9">
        <f t="shared" si="7"/>
        <v>25200</v>
      </c>
      <c r="L38" s="56"/>
    </row>
    <row r="39" spans="2:12" x14ac:dyDescent="0.25">
      <c r="B39" s="53" t="s">
        <v>32</v>
      </c>
      <c r="C39" s="104">
        <f>6540-200+800+160</f>
        <v>7300</v>
      </c>
      <c r="D39" s="73"/>
      <c r="E39" s="73">
        <f>120+60</f>
        <v>180</v>
      </c>
      <c r="F39" s="9"/>
      <c r="G39" s="9"/>
      <c r="H39" s="9"/>
      <c r="I39" s="9">
        <f t="shared" si="7"/>
        <v>7480</v>
      </c>
      <c r="L39" s="56"/>
    </row>
    <row r="40" spans="2:12" x14ac:dyDescent="0.25">
      <c r="B40" s="53" t="s">
        <v>33</v>
      </c>
      <c r="C40" s="102">
        <f>500-50+100+50-50</f>
        <v>550</v>
      </c>
      <c r="D40" s="9"/>
      <c r="E40" s="9"/>
      <c r="F40" s="9"/>
      <c r="G40" s="9"/>
      <c r="H40" s="9"/>
      <c r="I40" s="9">
        <f t="shared" si="7"/>
        <v>550</v>
      </c>
    </row>
    <row r="41" spans="2:12" x14ac:dyDescent="0.25">
      <c r="B41" s="53" t="s">
        <v>34</v>
      </c>
      <c r="C41" s="102">
        <f>550-50-50-50</f>
        <v>400</v>
      </c>
      <c r="D41" s="9"/>
      <c r="E41" s="9"/>
      <c r="F41" s="9"/>
      <c r="G41" s="9"/>
      <c r="H41" s="9"/>
      <c r="I41" s="9">
        <f t="shared" si="7"/>
        <v>400</v>
      </c>
    </row>
    <row r="42" spans="2:12" x14ac:dyDescent="0.25">
      <c r="B42" s="53" t="s">
        <v>35</v>
      </c>
      <c r="C42" s="102">
        <f>6000-800+200+1700-100+25</f>
        <v>7025</v>
      </c>
      <c r="D42" s="9"/>
      <c r="E42" s="9"/>
      <c r="F42" s="9"/>
      <c r="G42" s="9"/>
      <c r="H42" s="9"/>
      <c r="I42" s="9">
        <f t="shared" si="7"/>
        <v>7025</v>
      </c>
    </row>
    <row r="43" spans="2:12" x14ac:dyDescent="0.25">
      <c r="B43" s="53" t="s">
        <v>36</v>
      </c>
      <c r="C43" s="104">
        <f>3600+550+2200-900+110</f>
        <v>5560</v>
      </c>
      <c r="D43" s="9"/>
      <c r="E43" s="104">
        <f>3600-550+15</f>
        <v>3065</v>
      </c>
      <c r="F43" s="9"/>
      <c r="G43" s="9"/>
      <c r="H43" s="9"/>
      <c r="I43" s="9">
        <f t="shared" si="7"/>
        <v>8625</v>
      </c>
    </row>
    <row r="44" spans="2:12" x14ac:dyDescent="0.25">
      <c r="B44" s="53" t="s">
        <v>37</v>
      </c>
      <c r="C44" s="102">
        <f>6600-1000-600+320</f>
        <v>5320</v>
      </c>
      <c r="D44" s="9"/>
      <c r="E44" s="9"/>
      <c r="F44" s="9"/>
      <c r="G44" s="9"/>
      <c r="H44" s="9"/>
      <c r="I44" s="9">
        <f t="shared" si="7"/>
        <v>5320</v>
      </c>
    </row>
    <row r="45" spans="2:12" x14ac:dyDescent="0.25">
      <c r="B45" s="53" t="s">
        <v>38</v>
      </c>
      <c r="C45" s="9">
        <f>2700</f>
        <v>2700</v>
      </c>
      <c r="D45" s="9"/>
      <c r="E45" s="9"/>
      <c r="F45" s="9"/>
      <c r="G45" s="9"/>
      <c r="H45" s="9"/>
      <c r="I45" s="9">
        <f t="shared" si="7"/>
        <v>2700</v>
      </c>
    </row>
    <row r="46" spans="2:12" x14ac:dyDescent="0.25">
      <c r="B46" s="53" t="s">
        <v>39</v>
      </c>
      <c r="C46" s="9">
        <f>1500-100</f>
        <v>1400</v>
      </c>
      <c r="D46" s="9"/>
      <c r="E46" s="9"/>
      <c r="F46" s="9"/>
      <c r="G46" s="9"/>
      <c r="H46" s="9"/>
      <c r="I46" s="9">
        <f t="shared" si="7"/>
        <v>1400</v>
      </c>
    </row>
    <row r="47" spans="2:12" x14ac:dyDescent="0.25">
      <c r="B47" s="53" t="s">
        <v>40</v>
      </c>
      <c r="C47" s="9"/>
      <c r="D47" s="9"/>
      <c r="E47" s="9"/>
      <c r="F47" s="9"/>
      <c r="G47" s="9"/>
      <c r="H47" s="9"/>
      <c r="I47" s="9">
        <f t="shared" si="7"/>
        <v>0</v>
      </c>
    </row>
    <row r="48" spans="2:12" x14ac:dyDescent="0.25">
      <c r="B48" s="53" t="s">
        <v>41</v>
      </c>
      <c r="C48" s="102">
        <f>600+100-50-50</f>
        <v>600</v>
      </c>
      <c r="D48" s="9"/>
      <c r="E48" s="9">
        <v>50</v>
      </c>
      <c r="F48" s="9"/>
      <c r="G48" s="9"/>
      <c r="H48" s="9"/>
      <c r="I48" s="9">
        <f t="shared" si="7"/>
        <v>650</v>
      </c>
    </row>
    <row r="49" spans="2:9" x14ac:dyDescent="0.25">
      <c r="B49" s="53" t="s">
        <v>42</v>
      </c>
      <c r="C49" s="9">
        <f>350+150</f>
        <v>500</v>
      </c>
      <c r="D49" s="9"/>
      <c r="E49" s="9"/>
      <c r="F49" s="9"/>
      <c r="G49" s="9"/>
      <c r="H49" s="9"/>
      <c r="I49" s="9">
        <f t="shared" si="7"/>
        <v>500</v>
      </c>
    </row>
    <row r="50" spans="2:9" x14ac:dyDescent="0.25">
      <c r="B50" s="53" t="s">
        <v>43</v>
      </c>
      <c r="C50" s="9">
        <f>550+50</f>
        <v>600</v>
      </c>
      <c r="D50" s="9"/>
      <c r="E50" s="9"/>
      <c r="F50" s="9"/>
      <c r="G50" s="9"/>
      <c r="H50" s="9"/>
      <c r="I50" s="9">
        <f t="shared" si="7"/>
        <v>600</v>
      </c>
    </row>
    <row r="51" spans="2:9" x14ac:dyDescent="0.25">
      <c r="B51" s="53" t="s">
        <v>44</v>
      </c>
      <c r="C51" s="9">
        <f>3800</f>
        <v>3800</v>
      </c>
      <c r="D51" s="9"/>
      <c r="E51" s="9"/>
      <c r="F51" s="9"/>
      <c r="G51" s="9"/>
      <c r="H51" s="9"/>
      <c r="I51" s="9">
        <f t="shared" si="7"/>
        <v>3800</v>
      </c>
    </row>
    <row r="52" spans="2:9" x14ac:dyDescent="0.25">
      <c r="B52" s="53" t="s">
        <v>45</v>
      </c>
      <c r="C52" s="9">
        <f>1200+350</f>
        <v>1550</v>
      </c>
      <c r="D52" s="9"/>
      <c r="E52" s="9"/>
      <c r="F52" s="9"/>
      <c r="G52" s="9"/>
      <c r="H52" s="9"/>
      <c r="I52" s="9">
        <f t="shared" si="7"/>
        <v>1550</v>
      </c>
    </row>
    <row r="53" spans="2:9" x14ac:dyDescent="0.25">
      <c r="B53" s="53" t="s">
        <v>46</v>
      </c>
      <c r="C53" s="9"/>
      <c r="D53" s="9"/>
      <c r="E53" s="9">
        <v>280</v>
      </c>
      <c r="F53" s="9"/>
      <c r="G53" s="9"/>
      <c r="H53" s="9"/>
      <c r="I53" s="9">
        <f t="shared" si="7"/>
        <v>280</v>
      </c>
    </row>
    <row r="54" spans="2:9" x14ac:dyDescent="0.25">
      <c r="B54" s="53" t="s">
        <v>153</v>
      </c>
      <c r="C54" s="9"/>
      <c r="D54" s="9"/>
      <c r="E54" s="9">
        <f>110+30+220</f>
        <v>360</v>
      </c>
      <c r="F54" s="9"/>
      <c r="G54" s="9"/>
      <c r="H54" s="9"/>
      <c r="I54" s="9">
        <f t="shared" si="7"/>
        <v>360</v>
      </c>
    </row>
    <row r="55" spans="2:9" x14ac:dyDescent="0.25">
      <c r="B55" s="53" t="s">
        <v>47</v>
      </c>
      <c r="C55" s="9"/>
      <c r="D55" s="9"/>
      <c r="E55" s="9"/>
      <c r="F55" s="9"/>
      <c r="G55" s="9"/>
      <c r="H55" s="9"/>
      <c r="I55" s="9">
        <f t="shared" si="7"/>
        <v>0</v>
      </c>
    </row>
    <row r="56" spans="2:9" x14ac:dyDescent="0.25">
      <c r="B56" s="54" t="s">
        <v>48</v>
      </c>
      <c r="C56" s="9"/>
      <c r="D56" s="9"/>
      <c r="E56" s="9">
        <f>200-20+50</f>
        <v>230</v>
      </c>
      <c r="F56" s="9"/>
      <c r="G56" s="9"/>
      <c r="H56" s="9"/>
      <c r="I56" s="9">
        <f t="shared" si="7"/>
        <v>230</v>
      </c>
    </row>
    <row r="57" spans="2:9" ht="15.75" thickBot="1" x14ac:dyDescent="0.3">
      <c r="B57" s="53" t="s">
        <v>49</v>
      </c>
      <c r="C57" s="55"/>
      <c r="D57" s="55"/>
      <c r="E57" s="9">
        <f>150+100+50+50+20+100</f>
        <v>470</v>
      </c>
      <c r="F57" s="9"/>
      <c r="G57" s="9"/>
      <c r="H57" s="55"/>
      <c r="I57" s="9">
        <f t="shared" si="7"/>
        <v>470</v>
      </c>
    </row>
    <row r="58" spans="2:9" ht="15.75" thickBot="1" x14ac:dyDescent="0.3">
      <c r="B58" s="41" t="s">
        <v>50</v>
      </c>
      <c r="C58" s="42">
        <f>SUM(C59:C67)</f>
        <v>0</v>
      </c>
      <c r="D58" s="42"/>
      <c r="E58" s="42">
        <f t="shared" ref="E58" si="8">SUM(E59:E67)</f>
        <v>1476</v>
      </c>
      <c r="F58" s="42"/>
      <c r="G58" s="42"/>
      <c r="H58" s="42"/>
      <c r="I58" s="44">
        <f>SUM(I59:I67)</f>
        <v>1476</v>
      </c>
    </row>
    <row r="59" spans="2:9" x14ac:dyDescent="0.25">
      <c r="B59" s="4" t="s">
        <v>51</v>
      </c>
      <c r="C59" s="7"/>
      <c r="D59" s="7"/>
      <c r="E59" s="7">
        <v>0</v>
      </c>
      <c r="F59" s="7"/>
      <c r="G59" s="7"/>
      <c r="H59" s="7"/>
      <c r="I59" s="7">
        <f>SUM(C59:H59)</f>
        <v>0</v>
      </c>
    </row>
    <row r="60" spans="2:9" x14ac:dyDescent="0.25">
      <c r="B60" s="8" t="s">
        <v>52</v>
      </c>
      <c r="C60" s="9"/>
      <c r="D60" s="9"/>
      <c r="E60" s="9">
        <v>100</v>
      </c>
      <c r="F60" s="9"/>
      <c r="G60" s="9"/>
      <c r="H60" s="9"/>
      <c r="I60" s="7">
        <f t="shared" ref="I60:I67" si="9">SUM(C60:H60)</f>
        <v>100</v>
      </c>
    </row>
    <row r="61" spans="2:9" x14ac:dyDescent="0.25">
      <c r="B61" s="8" t="s">
        <v>53</v>
      </c>
      <c r="C61" s="9"/>
      <c r="D61" s="9"/>
      <c r="E61" s="102">
        <f>600+200</f>
        <v>800</v>
      </c>
      <c r="F61" s="9"/>
      <c r="G61" s="9"/>
      <c r="H61" s="9"/>
      <c r="I61" s="7">
        <f t="shared" si="9"/>
        <v>800</v>
      </c>
    </row>
    <row r="62" spans="2:9" x14ac:dyDescent="0.25">
      <c r="B62" s="8" t="s">
        <v>54</v>
      </c>
      <c r="C62" s="9"/>
      <c r="D62" s="9"/>
      <c r="E62" s="9">
        <v>50</v>
      </c>
      <c r="F62" s="9"/>
      <c r="G62" s="9"/>
      <c r="H62" s="9"/>
      <c r="I62" s="7">
        <f t="shared" si="9"/>
        <v>50</v>
      </c>
    </row>
    <row r="63" spans="2:9" x14ac:dyDescent="0.25">
      <c r="B63" s="8" t="s">
        <v>55</v>
      </c>
      <c r="C63" s="9"/>
      <c r="D63" s="9"/>
      <c r="E63" s="9">
        <f>100-50</f>
        <v>50</v>
      </c>
      <c r="F63" s="9"/>
      <c r="G63" s="9"/>
      <c r="H63" s="9"/>
      <c r="I63" s="7">
        <f t="shared" si="9"/>
        <v>50</v>
      </c>
    </row>
    <row r="64" spans="2:9" x14ac:dyDescent="0.25">
      <c r="B64" s="8" t="s">
        <v>56</v>
      </c>
      <c r="C64" s="9"/>
      <c r="D64" s="9"/>
      <c r="E64" s="9">
        <v>100</v>
      </c>
      <c r="F64" s="9"/>
      <c r="G64" s="9"/>
      <c r="H64" s="9"/>
      <c r="I64" s="7">
        <f t="shared" si="9"/>
        <v>100</v>
      </c>
    </row>
    <row r="65" spans="2:9" x14ac:dyDescent="0.25">
      <c r="B65" s="8" t="s">
        <v>57</v>
      </c>
      <c r="C65" s="9"/>
      <c r="D65" s="9"/>
      <c r="E65" s="9">
        <v>100</v>
      </c>
      <c r="F65" s="9"/>
      <c r="G65" s="9"/>
      <c r="H65" s="9"/>
      <c r="I65" s="7">
        <f t="shared" si="9"/>
        <v>100</v>
      </c>
    </row>
    <row r="66" spans="2:9" x14ac:dyDescent="0.25">
      <c r="B66" s="8" t="s">
        <v>58</v>
      </c>
      <c r="C66" s="9"/>
      <c r="D66" s="9"/>
      <c r="E66" s="9">
        <f>50-50</f>
        <v>0</v>
      </c>
      <c r="F66" s="9"/>
      <c r="G66" s="9"/>
      <c r="H66" s="9"/>
      <c r="I66" s="7">
        <f t="shared" si="9"/>
        <v>0</v>
      </c>
    </row>
    <row r="67" spans="2:9" ht="15.75" thickBot="1" x14ac:dyDescent="0.3">
      <c r="B67" s="12" t="s">
        <v>59</v>
      </c>
      <c r="C67" s="1"/>
      <c r="D67" s="1"/>
      <c r="E67" s="1">
        <f>76+200</f>
        <v>276</v>
      </c>
      <c r="F67" s="1"/>
      <c r="G67" s="1"/>
      <c r="H67" s="1"/>
      <c r="I67" s="7">
        <f t="shared" si="9"/>
        <v>276</v>
      </c>
    </row>
    <row r="68" spans="2:9" ht="15.75" thickBot="1" x14ac:dyDescent="0.3">
      <c r="B68" s="41" t="s">
        <v>60</v>
      </c>
      <c r="C68" s="42">
        <f>SUM(C69:C92)</f>
        <v>19317</v>
      </c>
      <c r="D68" s="42">
        <f>SUM(D69:D92)</f>
        <v>4195</v>
      </c>
      <c r="E68" s="42">
        <f>SUM(E69:E92)</f>
        <v>10504</v>
      </c>
      <c r="F68" s="42">
        <f t="shared" ref="F68:H68" si="10">SUM(F69:F92)</f>
        <v>0</v>
      </c>
      <c r="G68" s="42">
        <f t="shared" si="10"/>
        <v>40</v>
      </c>
      <c r="H68" s="42">
        <f t="shared" si="10"/>
        <v>0</v>
      </c>
      <c r="I68" s="44">
        <f>SUM(I69:I92)</f>
        <v>34056</v>
      </c>
    </row>
    <row r="69" spans="2:9" x14ac:dyDescent="0.25">
      <c r="B69" s="14" t="s">
        <v>165</v>
      </c>
      <c r="C69" s="7"/>
      <c r="D69" s="7"/>
      <c r="E69" s="7">
        <f>300-300</f>
        <v>0</v>
      </c>
      <c r="F69" s="64"/>
      <c r="G69" s="64"/>
      <c r="H69" s="64"/>
      <c r="I69" s="2">
        <f t="shared" ref="I69:I92" si="11">SUM(C69:H69)</f>
        <v>0</v>
      </c>
    </row>
    <row r="70" spans="2:9" x14ac:dyDescent="0.25">
      <c r="B70" s="14" t="s">
        <v>61</v>
      </c>
      <c r="C70" s="7"/>
      <c r="D70" s="7"/>
      <c r="E70" s="124">
        <f>300+250+50-300-100-15</f>
        <v>185</v>
      </c>
      <c r="F70" s="64"/>
      <c r="G70" s="64"/>
      <c r="H70" s="64"/>
      <c r="I70" s="2">
        <f t="shared" si="11"/>
        <v>185</v>
      </c>
    </row>
    <row r="71" spans="2:9" x14ac:dyDescent="0.25">
      <c r="B71" s="8" t="s">
        <v>62</v>
      </c>
      <c r="C71" s="9"/>
      <c r="D71" s="9"/>
      <c r="E71" s="9">
        <v>480</v>
      </c>
      <c r="F71" s="64"/>
      <c r="G71" s="64"/>
      <c r="H71" s="64"/>
      <c r="I71" s="2">
        <f t="shared" si="11"/>
        <v>480</v>
      </c>
    </row>
    <row r="72" spans="2:9" x14ac:dyDescent="0.25">
      <c r="B72" s="8" t="s">
        <v>63</v>
      </c>
      <c r="C72" s="102">
        <f>3500+150</f>
        <v>3650</v>
      </c>
      <c r="D72" s="9"/>
      <c r="E72" s="9"/>
      <c r="F72" s="64"/>
      <c r="G72" s="64"/>
      <c r="H72" s="64"/>
      <c r="I72" s="2">
        <f t="shared" si="11"/>
        <v>3650</v>
      </c>
    </row>
    <row r="73" spans="2:9" x14ac:dyDescent="0.25">
      <c r="B73" s="8" t="s">
        <v>64</v>
      </c>
      <c r="C73" s="104">
        <f>7500-2700+700-500</f>
        <v>5000</v>
      </c>
      <c r="D73" s="73"/>
      <c r="E73" s="9"/>
      <c r="F73" s="64"/>
      <c r="G73" s="64"/>
      <c r="H73" s="64"/>
      <c r="I73" s="2">
        <f t="shared" si="11"/>
        <v>5000</v>
      </c>
    </row>
    <row r="74" spans="2:9" x14ac:dyDescent="0.25">
      <c r="B74" s="8" t="s">
        <v>65</v>
      </c>
      <c r="C74" s="9"/>
      <c r="D74" s="9"/>
      <c r="E74" s="66">
        <f>200+100+150</f>
        <v>450</v>
      </c>
      <c r="F74" s="96"/>
      <c r="G74" s="96"/>
      <c r="H74" s="64"/>
      <c r="I74" s="2">
        <f t="shared" si="11"/>
        <v>450</v>
      </c>
    </row>
    <row r="75" spans="2:9" x14ac:dyDescent="0.25">
      <c r="B75" s="8" t="s">
        <v>66</v>
      </c>
      <c r="C75" s="9">
        <f>4800-500</f>
        <v>4300</v>
      </c>
      <c r="D75" s="9"/>
      <c r="E75" s="73">
        <f>450+250+550+700</f>
        <v>1950</v>
      </c>
      <c r="F75" s="97"/>
      <c r="G75" s="97"/>
      <c r="H75" s="64"/>
      <c r="I75" s="2">
        <f t="shared" si="11"/>
        <v>6250</v>
      </c>
    </row>
    <row r="76" spans="2:9" x14ac:dyDescent="0.25">
      <c r="B76" s="8" t="s">
        <v>67</v>
      </c>
      <c r="C76" s="9"/>
      <c r="D76" s="9"/>
      <c r="E76" s="9">
        <f>400-150-50+100</f>
        <v>300</v>
      </c>
      <c r="F76" s="64"/>
      <c r="G76" s="64"/>
      <c r="H76" s="64"/>
      <c r="I76" s="2">
        <f t="shared" si="11"/>
        <v>300</v>
      </c>
    </row>
    <row r="77" spans="2:9" x14ac:dyDescent="0.25">
      <c r="B77" s="8" t="s">
        <v>68</v>
      </c>
      <c r="C77" s="9"/>
      <c r="D77" s="9"/>
      <c r="E77" s="9">
        <f>100-100</f>
        <v>0</v>
      </c>
      <c r="F77" s="64"/>
      <c r="G77" s="64"/>
      <c r="H77" s="64"/>
      <c r="I77" s="2">
        <f t="shared" si="11"/>
        <v>0</v>
      </c>
    </row>
    <row r="78" spans="2:9" x14ac:dyDescent="0.25">
      <c r="B78" s="8" t="s">
        <v>69</v>
      </c>
      <c r="C78" s="9"/>
      <c r="D78" s="9"/>
      <c r="E78" s="9">
        <v>70</v>
      </c>
      <c r="F78" s="64"/>
      <c r="G78" s="64"/>
      <c r="H78" s="64"/>
      <c r="I78" s="2">
        <f t="shared" si="11"/>
        <v>70</v>
      </c>
    </row>
    <row r="79" spans="2:9" x14ac:dyDescent="0.25">
      <c r="B79" s="8" t="s">
        <v>70</v>
      </c>
      <c r="C79" s="9"/>
      <c r="D79" s="9">
        <v>970</v>
      </c>
      <c r="E79" s="9">
        <v>230</v>
      </c>
      <c r="F79" s="64"/>
      <c r="G79" s="64"/>
      <c r="H79" s="64"/>
      <c r="I79" s="2">
        <f t="shared" si="11"/>
        <v>1200</v>
      </c>
    </row>
    <row r="80" spans="2:9" x14ac:dyDescent="0.25">
      <c r="B80" s="8" t="s">
        <v>71</v>
      </c>
      <c r="C80" s="9"/>
      <c r="D80" s="9"/>
      <c r="E80" s="9">
        <f>100+50</f>
        <v>150</v>
      </c>
      <c r="F80" s="64"/>
      <c r="G80" s="64"/>
      <c r="H80" s="64"/>
      <c r="I80" s="2">
        <f t="shared" si="11"/>
        <v>150</v>
      </c>
    </row>
    <row r="81" spans="2:9" x14ac:dyDescent="0.25">
      <c r="B81" s="8" t="s">
        <v>72</v>
      </c>
      <c r="C81" s="102">
        <f>200-50-30</f>
        <v>120</v>
      </c>
      <c r="D81" s="9"/>
      <c r="E81" s="9"/>
      <c r="F81" s="64"/>
      <c r="G81" s="64"/>
      <c r="H81" s="64"/>
      <c r="I81" s="2">
        <f t="shared" si="11"/>
        <v>120</v>
      </c>
    </row>
    <row r="82" spans="2:9" x14ac:dyDescent="0.25">
      <c r="B82" s="8" t="s">
        <v>73</v>
      </c>
      <c r="C82" s="9"/>
      <c r="D82" s="102">
        <f>60+100+225</f>
        <v>385</v>
      </c>
      <c r="E82" s="9">
        <v>600</v>
      </c>
      <c r="F82" s="64"/>
      <c r="G82" s="106">
        <v>40</v>
      </c>
      <c r="H82" s="64"/>
      <c r="I82" s="2">
        <f t="shared" si="11"/>
        <v>1025</v>
      </c>
    </row>
    <row r="83" spans="2:9" x14ac:dyDescent="0.25">
      <c r="B83" s="8" t="s">
        <v>74</v>
      </c>
      <c r="C83" s="9"/>
      <c r="D83" s="9"/>
      <c r="E83" s="9">
        <v>400</v>
      </c>
      <c r="F83" s="64"/>
      <c r="G83" s="64"/>
      <c r="H83" s="64"/>
      <c r="I83" s="2">
        <f t="shared" si="11"/>
        <v>400</v>
      </c>
    </row>
    <row r="84" spans="2:9" x14ac:dyDescent="0.25">
      <c r="B84" s="8" t="s">
        <v>75</v>
      </c>
      <c r="C84" s="9"/>
      <c r="D84" s="9"/>
      <c r="E84" s="9">
        <v>50</v>
      </c>
      <c r="F84" s="64"/>
      <c r="G84" s="64"/>
      <c r="H84" s="64"/>
      <c r="I84" s="2">
        <f t="shared" si="11"/>
        <v>50</v>
      </c>
    </row>
    <row r="85" spans="2:9" x14ac:dyDescent="0.25">
      <c r="B85" s="8" t="s">
        <v>76</v>
      </c>
      <c r="C85" s="16"/>
      <c r="D85" s="16"/>
      <c r="E85" s="102">
        <f>1000+50+50</f>
        <v>1100</v>
      </c>
      <c r="F85" s="64"/>
      <c r="G85" s="64"/>
      <c r="H85" s="64"/>
      <c r="I85" s="2">
        <f t="shared" si="11"/>
        <v>1100</v>
      </c>
    </row>
    <row r="86" spans="2:9" x14ac:dyDescent="0.25">
      <c r="B86" s="15" t="s">
        <v>77</v>
      </c>
      <c r="C86" s="16"/>
      <c r="D86" s="16"/>
      <c r="E86" s="102">
        <f>150-50-50</f>
        <v>50</v>
      </c>
      <c r="F86" s="64"/>
      <c r="G86" s="64"/>
      <c r="H86" s="64"/>
      <c r="I86" s="2">
        <f t="shared" si="11"/>
        <v>50</v>
      </c>
    </row>
    <row r="87" spans="2:9" x14ac:dyDescent="0.25">
      <c r="B87" s="6" t="s">
        <v>78</v>
      </c>
      <c r="C87" s="9"/>
      <c r="D87" s="9"/>
      <c r="E87" s="9">
        <v>1500</v>
      </c>
      <c r="F87" s="64"/>
      <c r="G87" s="64"/>
      <c r="H87" s="64"/>
      <c r="I87" s="2">
        <f t="shared" si="11"/>
        <v>1500</v>
      </c>
    </row>
    <row r="88" spans="2:9" x14ac:dyDescent="0.25">
      <c r="B88" s="8" t="s">
        <v>79</v>
      </c>
      <c r="C88" s="9"/>
      <c r="D88" s="9"/>
      <c r="E88" s="9">
        <f>600-C84252</f>
        <v>600</v>
      </c>
      <c r="F88" s="64"/>
      <c r="G88" s="64"/>
      <c r="H88" s="64"/>
      <c r="I88" s="2">
        <f t="shared" si="11"/>
        <v>600</v>
      </c>
    </row>
    <row r="89" spans="2:9" x14ac:dyDescent="0.25">
      <c r="B89" s="8" t="s">
        <v>80</v>
      </c>
      <c r="C89" s="102">
        <f>5200+500+400-53+200</f>
        <v>6247</v>
      </c>
      <c r="D89" s="9"/>
      <c r="E89" s="9"/>
      <c r="F89" s="64"/>
      <c r="G89" s="64"/>
      <c r="H89" s="64"/>
      <c r="I89" s="2">
        <f t="shared" si="11"/>
        <v>6247</v>
      </c>
    </row>
    <row r="90" spans="2:9" x14ac:dyDescent="0.25">
      <c r="B90" s="8" t="s">
        <v>81</v>
      </c>
      <c r="C90" s="9"/>
      <c r="D90" s="9"/>
      <c r="E90" s="102">
        <f>444+100+50+25</f>
        <v>619</v>
      </c>
      <c r="F90" s="64"/>
      <c r="G90" s="64"/>
      <c r="H90" s="64"/>
      <c r="I90" s="2">
        <f t="shared" si="11"/>
        <v>619</v>
      </c>
    </row>
    <row r="91" spans="2:9" x14ac:dyDescent="0.25">
      <c r="B91" s="8" t="s">
        <v>82</v>
      </c>
      <c r="C91" s="9"/>
      <c r="D91" s="9"/>
      <c r="E91" s="102">
        <f>100+50</f>
        <v>150</v>
      </c>
      <c r="F91" s="64"/>
      <c r="G91" s="64"/>
      <c r="H91" s="64"/>
      <c r="I91" s="2">
        <f t="shared" si="11"/>
        <v>150</v>
      </c>
    </row>
    <row r="92" spans="2:9" ht="15.75" thickBot="1" x14ac:dyDescent="0.3">
      <c r="B92" s="12" t="s">
        <v>83</v>
      </c>
      <c r="C92" s="1"/>
      <c r="D92" s="114">
        <f>60+1472+1308</f>
        <v>2840</v>
      </c>
      <c r="E92" s="1">
        <f>1800-280+100</f>
        <v>1620</v>
      </c>
      <c r="F92" s="37"/>
      <c r="G92" s="37"/>
      <c r="H92" s="37"/>
      <c r="I92" s="2">
        <f t="shared" si="11"/>
        <v>4460</v>
      </c>
    </row>
    <row r="93" spans="2:9" ht="15.75" thickBot="1" x14ac:dyDescent="0.3">
      <c r="B93" s="41" t="s">
        <v>84</v>
      </c>
      <c r="C93" s="45">
        <f>SUM(C94:C99)</f>
        <v>1525</v>
      </c>
      <c r="D93" s="45"/>
      <c r="E93" s="45">
        <f t="shared" ref="E93:H93" si="12">SUM(E94:E99)</f>
        <v>10100</v>
      </c>
      <c r="F93" s="45">
        <f t="shared" si="12"/>
        <v>1870</v>
      </c>
      <c r="G93" s="45"/>
      <c r="H93" s="45">
        <f t="shared" si="12"/>
        <v>0</v>
      </c>
      <c r="I93" s="45">
        <f>SUM(I94:I99)</f>
        <v>13495</v>
      </c>
    </row>
    <row r="94" spans="2:9" x14ac:dyDescent="0.25">
      <c r="B94" s="6" t="s">
        <v>85</v>
      </c>
      <c r="C94" s="124">
        <f>500-450-25</f>
        <v>25</v>
      </c>
      <c r="D94" s="7"/>
      <c r="E94" s="7">
        <v>50</v>
      </c>
      <c r="F94" s="64"/>
      <c r="G94" s="64"/>
      <c r="H94" s="64"/>
      <c r="I94" s="78">
        <f>SUM(C94:H94)</f>
        <v>75</v>
      </c>
    </row>
    <row r="95" spans="2:9" x14ac:dyDescent="0.25">
      <c r="B95" s="8" t="s">
        <v>86</v>
      </c>
      <c r="C95" s="9">
        <f>600-100</f>
        <v>500</v>
      </c>
      <c r="D95" s="9"/>
      <c r="E95" s="9"/>
      <c r="F95" s="64"/>
      <c r="G95" s="64"/>
      <c r="H95" s="64"/>
      <c r="I95" s="9">
        <f t="shared" ref="I95:I99" si="13">SUM(C95:H95)</f>
        <v>500</v>
      </c>
    </row>
    <row r="96" spans="2:9" x14ac:dyDescent="0.25">
      <c r="B96" s="8" t="s">
        <v>157</v>
      </c>
      <c r="C96" s="9"/>
      <c r="D96" s="9"/>
      <c r="E96" s="102">
        <f>2000+800+1000-500-500+500</f>
        <v>3300</v>
      </c>
      <c r="F96" s="64"/>
      <c r="G96" s="64"/>
      <c r="H96" s="64"/>
      <c r="I96" s="9">
        <f t="shared" si="13"/>
        <v>3300</v>
      </c>
    </row>
    <row r="97" spans="2:9" x14ac:dyDescent="0.25">
      <c r="B97" s="8" t="s">
        <v>87</v>
      </c>
      <c r="C97" s="137">
        <f>1000</f>
        <v>1000</v>
      </c>
      <c r="D97" s="9"/>
      <c r="E97" s="102">
        <f>200+300+500+2000-500+500</f>
        <v>3000</v>
      </c>
      <c r="F97" s="64"/>
      <c r="G97" s="64"/>
      <c r="H97" s="64"/>
      <c r="I97" s="9">
        <f t="shared" si="13"/>
        <v>4000</v>
      </c>
    </row>
    <row r="98" spans="2:9" x14ac:dyDescent="0.25">
      <c r="B98" s="8" t="s">
        <v>88</v>
      </c>
      <c r="C98" s="9"/>
      <c r="D98" s="9"/>
      <c r="E98" s="9">
        <v>50</v>
      </c>
      <c r="F98" s="64"/>
      <c r="G98" s="64"/>
      <c r="H98" s="64"/>
      <c r="I98" s="9">
        <f t="shared" si="13"/>
        <v>50</v>
      </c>
    </row>
    <row r="99" spans="2:9" ht="15.75" thickBot="1" x14ac:dyDescent="0.3">
      <c r="B99" s="12" t="s">
        <v>89</v>
      </c>
      <c r="C99" s="1"/>
      <c r="D99" s="1"/>
      <c r="E99" s="74">
        <f>3500-500+500+200</f>
        <v>3700</v>
      </c>
      <c r="F99" s="98">
        <v>1870</v>
      </c>
      <c r="G99" s="98"/>
      <c r="H99" s="37"/>
      <c r="I99" s="2">
        <f t="shared" si="13"/>
        <v>5570</v>
      </c>
    </row>
    <row r="100" spans="2:9" ht="15.75" thickBot="1" x14ac:dyDescent="0.3">
      <c r="B100" s="41" t="s">
        <v>90</v>
      </c>
      <c r="C100" s="45">
        <f>SUM(C101:C124)</f>
        <v>29680</v>
      </c>
      <c r="D100" s="45"/>
      <c r="E100" s="45">
        <f t="shared" ref="E100:I100" si="14">SUM(E101:E124)</f>
        <v>2060</v>
      </c>
      <c r="F100" s="45">
        <f>SUM(F101:F124)</f>
        <v>500</v>
      </c>
      <c r="G100" s="45"/>
      <c r="H100" s="45">
        <f t="shared" si="14"/>
        <v>0</v>
      </c>
      <c r="I100" s="45">
        <f t="shared" si="14"/>
        <v>32240</v>
      </c>
    </row>
    <row r="101" spans="2:9" x14ac:dyDescent="0.25">
      <c r="B101" s="6" t="s">
        <v>91</v>
      </c>
      <c r="C101" s="126">
        <f>800-600+800</f>
        <v>1000</v>
      </c>
      <c r="D101" s="75"/>
      <c r="E101" s="7"/>
      <c r="F101" s="7"/>
      <c r="G101" s="7"/>
      <c r="H101" s="7"/>
      <c r="I101" s="9">
        <f>SUM(C101:H101)</f>
        <v>1000</v>
      </c>
    </row>
    <row r="102" spans="2:9" x14ac:dyDescent="0.25">
      <c r="B102" s="8" t="s">
        <v>92</v>
      </c>
      <c r="C102" s="73">
        <v>200</v>
      </c>
      <c r="D102" s="73"/>
      <c r="E102" s="9"/>
      <c r="F102" s="9"/>
      <c r="G102" s="9"/>
      <c r="H102" s="9"/>
      <c r="I102" s="9">
        <f t="shared" ref="I102:I124" si="15">SUM(C102:H102)</f>
        <v>200</v>
      </c>
    </row>
    <row r="103" spans="2:9" x14ac:dyDescent="0.25">
      <c r="B103" s="8" t="s">
        <v>149</v>
      </c>
      <c r="C103" s="73">
        <v>1290</v>
      </c>
      <c r="D103" s="73"/>
      <c r="E103" s="9"/>
      <c r="F103" s="9"/>
      <c r="G103" s="9"/>
      <c r="H103" s="9"/>
      <c r="I103" s="9">
        <f t="shared" si="15"/>
        <v>1290</v>
      </c>
    </row>
    <row r="104" spans="2:9" x14ac:dyDescent="0.25">
      <c r="B104" s="8" t="s">
        <v>93</v>
      </c>
      <c r="C104" s="104">
        <f>200+100+100</f>
        <v>400</v>
      </c>
      <c r="D104" s="73"/>
      <c r="E104" s="9"/>
      <c r="F104" s="9"/>
      <c r="G104" s="9"/>
      <c r="H104" s="9"/>
      <c r="I104" s="9">
        <f t="shared" si="15"/>
        <v>400</v>
      </c>
    </row>
    <row r="105" spans="2:9" x14ac:dyDescent="0.25">
      <c r="B105" s="8" t="s">
        <v>94</v>
      </c>
      <c r="C105" s="73">
        <f>800+400+320</f>
        <v>1520</v>
      </c>
      <c r="D105" s="73"/>
      <c r="E105" s="9"/>
      <c r="F105" s="9"/>
      <c r="G105" s="9"/>
      <c r="H105" s="9"/>
      <c r="I105" s="9">
        <f t="shared" si="15"/>
        <v>1520</v>
      </c>
    </row>
    <row r="106" spans="2:9" x14ac:dyDescent="0.25">
      <c r="B106" s="8" t="s">
        <v>95</v>
      </c>
      <c r="C106" s="73">
        <f>300+100-100+100</f>
        <v>400</v>
      </c>
      <c r="D106" s="73"/>
      <c r="E106" s="9"/>
      <c r="F106" s="9"/>
      <c r="G106" s="9"/>
      <c r="H106" s="9"/>
      <c r="I106" s="9">
        <f t="shared" si="15"/>
        <v>400</v>
      </c>
    </row>
    <row r="107" spans="2:9" x14ac:dyDescent="0.25">
      <c r="B107" s="8" t="s">
        <v>96</v>
      </c>
      <c r="C107" s="104">
        <f>1250+500+600-500</f>
        <v>1850</v>
      </c>
      <c r="D107" s="73"/>
      <c r="E107" s="9">
        <v>10</v>
      </c>
      <c r="F107" s="9"/>
      <c r="G107" s="9"/>
      <c r="H107" s="9"/>
      <c r="I107" s="9">
        <f t="shared" si="15"/>
        <v>1860</v>
      </c>
    </row>
    <row r="108" spans="2:9" x14ac:dyDescent="0.25">
      <c r="B108" s="8" t="s">
        <v>160</v>
      </c>
      <c r="C108" s="73">
        <v>0</v>
      </c>
      <c r="D108" s="73"/>
      <c r="E108" s="9"/>
      <c r="F108" s="9"/>
      <c r="G108" s="9"/>
      <c r="H108" s="9"/>
      <c r="I108" s="9">
        <f t="shared" si="15"/>
        <v>0</v>
      </c>
    </row>
    <row r="109" spans="2:9" x14ac:dyDescent="0.25">
      <c r="B109" s="8" t="s">
        <v>97</v>
      </c>
      <c r="C109" s="73">
        <f>1200+1100</f>
        <v>2300</v>
      </c>
      <c r="D109" s="73"/>
      <c r="E109" s="9"/>
      <c r="F109" s="9"/>
      <c r="G109" s="9"/>
      <c r="H109" s="9"/>
      <c r="I109" s="9">
        <f t="shared" si="15"/>
        <v>2300</v>
      </c>
    </row>
    <row r="110" spans="2:9" x14ac:dyDescent="0.25">
      <c r="B110" s="8" t="s">
        <v>98</v>
      </c>
      <c r="C110" s="73">
        <f>1200-600+600</f>
        <v>1200</v>
      </c>
      <c r="D110" s="73"/>
      <c r="E110" s="9"/>
      <c r="F110" s="9"/>
      <c r="G110" s="9"/>
      <c r="H110" s="9"/>
      <c r="I110" s="9">
        <f t="shared" si="15"/>
        <v>1200</v>
      </c>
    </row>
    <row r="111" spans="2:9" x14ac:dyDescent="0.25">
      <c r="B111" s="8" t="s">
        <v>99</v>
      </c>
      <c r="C111" s="108">
        <f>5000+1000+1200+600+500</f>
        <v>8300</v>
      </c>
      <c r="D111" s="9"/>
      <c r="E111" s="9"/>
      <c r="F111" s="9"/>
      <c r="G111" s="9"/>
      <c r="H111" s="9"/>
      <c r="I111" s="9">
        <f t="shared" si="15"/>
        <v>8300</v>
      </c>
    </row>
    <row r="112" spans="2:9" x14ac:dyDescent="0.25">
      <c r="B112" s="8" t="s">
        <v>100</v>
      </c>
      <c r="C112" s="9"/>
      <c r="D112" s="9"/>
      <c r="E112" s="9">
        <v>100</v>
      </c>
      <c r="F112" s="9"/>
      <c r="G112" s="9"/>
      <c r="H112" s="9"/>
      <c r="I112" s="9">
        <f t="shared" si="15"/>
        <v>100</v>
      </c>
    </row>
    <row r="113" spans="2:13" x14ac:dyDescent="0.25">
      <c r="B113" s="8" t="s">
        <v>161</v>
      </c>
      <c r="C113" s="9"/>
      <c r="D113" s="9"/>
      <c r="E113" s="9"/>
      <c r="F113" s="9"/>
      <c r="G113" s="9"/>
      <c r="H113" s="9"/>
      <c r="I113" s="9">
        <f t="shared" si="15"/>
        <v>0</v>
      </c>
    </row>
    <row r="114" spans="2:13" x14ac:dyDescent="0.25">
      <c r="B114" s="8" t="s">
        <v>101</v>
      </c>
      <c r="C114" s="104">
        <f>900+200+600-500+200</f>
        <v>1400</v>
      </c>
      <c r="D114" s="73"/>
      <c r="E114" s="9"/>
      <c r="F114" s="9"/>
      <c r="G114" s="9"/>
      <c r="H114" s="9"/>
      <c r="I114" s="9">
        <f t="shared" si="15"/>
        <v>1400</v>
      </c>
    </row>
    <row r="115" spans="2:13" x14ac:dyDescent="0.25">
      <c r="B115" s="8" t="s">
        <v>102</v>
      </c>
      <c r="C115" s="104">
        <f>1200-200</f>
        <v>1000</v>
      </c>
      <c r="D115" s="73"/>
      <c r="E115" s="9"/>
      <c r="F115" s="9"/>
      <c r="G115" s="9"/>
      <c r="H115" s="9"/>
      <c r="I115" s="9">
        <f t="shared" si="15"/>
        <v>1000</v>
      </c>
    </row>
    <row r="116" spans="2:13" x14ac:dyDescent="0.25">
      <c r="B116" s="8" t="s">
        <v>103</v>
      </c>
      <c r="C116" s="73">
        <f>100-100</f>
        <v>0</v>
      </c>
      <c r="D116" s="73"/>
      <c r="E116" s="9"/>
      <c r="F116" s="9"/>
      <c r="G116" s="9"/>
      <c r="H116" s="9"/>
      <c r="I116" s="9">
        <f t="shared" si="15"/>
        <v>0</v>
      </c>
    </row>
    <row r="117" spans="2:13" x14ac:dyDescent="0.25">
      <c r="B117" s="8" t="s">
        <v>104</v>
      </c>
      <c r="C117" s="102">
        <f>500-100+150</f>
        <v>550</v>
      </c>
      <c r="D117" s="9"/>
      <c r="E117" s="9">
        <f>500+50</f>
        <v>550</v>
      </c>
      <c r="F117" s="9"/>
      <c r="G117" s="9"/>
      <c r="H117" s="9"/>
      <c r="I117" s="9">
        <f t="shared" si="15"/>
        <v>1100</v>
      </c>
    </row>
    <row r="118" spans="2:13" x14ac:dyDescent="0.25">
      <c r="B118" s="8" t="s">
        <v>105</v>
      </c>
      <c r="C118" s="104">
        <f>200-100-30</f>
        <v>70</v>
      </c>
      <c r="D118" s="73"/>
      <c r="E118" s="9"/>
      <c r="F118" s="9"/>
      <c r="G118" s="9"/>
      <c r="H118" s="9"/>
      <c r="I118" s="9">
        <f t="shared" si="15"/>
        <v>70</v>
      </c>
    </row>
    <row r="119" spans="2:13" x14ac:dyDescent="0.25">
      <c r="B119" s="8" t="s">
        <v>106</v>
      </c>
      <c r="C119" s="73">
        <v>1200</v>
      </c>
      <c r="D119" s="73"/>
      <c r="E119" s="9"/>
      <c r="F119" s="9"/>
      <c r="G119" s="9"/>
      <c r="H119" s="9"/>
      <c r="I119" s="9">
        <f t="shared" si="15"/>
        <v>1200</v>
      </c>
    </row>
    <row r="120" spans="2:13" x14ac:dyDescent="0.25">
      <c r="B120" s="8" t="s">
        <v>107</v>
      </c>
      <c r="C120" s="104">
        <f>4100-100-500-100</f>
        <v>3400</v>
      </c>
      <c r="D120" s="104"/>
      <c r="E120" s="9"/>
      <c r="F120" s="9">
        <v>500</v>
      </c>
      <c r="G120" s="9"/>
      <c r="H120" s="9"/>
      <c r="I120" s="9">
        <f t="shared" si="15"/>
        <v>3900</v>
      </c>
    </row>
    <row r="121" spans="2:13" x14ac:dyDescent="0.25">
      <c r="B121" s="23" t="s">
        <v>108</v>
      </c>
      <c r="C121" s="102">
        <f>1850+340+258+64+120-250-300-82+220-100-420+100</f>
        <v>1800</v>
      </c>
      <c r="D121" s="102"/>
      <c r="E121" s="9"/>
      <c r="F121" s="9"/>
      <c r="G121" s="9"/>
      <c r="H121" s="9"/>
      <c r="I121" s="9">
        <f t="shared" si="15"/>
        <v>1800</v>
      </c>
    </row>
    <row r="122" spans="2:13" x14ac:dyDescent="0.25">
      <c r="B122" s="8" t="s">
        <v>109</v>
      </c>
      <c r="C122" s="9">
        <f>900-300</f>
        <v>600</v>
      </c>
      <c r="D122" s="9"/>
      <c r="E122" s="9"/>
      <c r="F122" s="9"/>
      <c r="G122" s="9"/>
      <c r="H122" s="9"/>
      <c r="I122" s="9">
        <f t="shared" si="15"/>
        <v>600</v>
      </c>
    </row>
    <row r="123" spans="2:13" x14ac:dyDescent="0.25">
      <c r="B123" s="8" t="s">
        <v>110</v>
      </c>
      <c r="C123" s="9"/>
      <c r="D123" s="9"/>
      <c r="E123" s="9">
        <f>1200+200</f>
        <v>1400</v>
      </c>
      <c r="F123" s="9"/>
      <c r="G123" s="9"/>
      <c r="H123" s="9"/>
      <c r="I123" s="9">
        <f t="shared" si="15"/>
        <v>1400</v>
      </c>
      <c r="M123" s="56"/>
    </row>
    <row r="124" spans="2:13" ht="15.75" thickBot="1" x14ac:dyDescent="0.3">
      <c r="B124" s="12" t="s">
        <v>111</v>
      </c>
      <c r="C124" s="36">
        <f>800+100+300</f>
        <v>1200</v>
      </c>
      <c r="D124" s="36"/>
      <c r="E124" s="1"/>
      <c r="F124" s="1"/>
      <c r="G124" s="1"/>
      <c r="H124" s="36"/>
      <c r="I124" s="9">
        <f t="shared" si="15"/>
        <v>1200</v>
      </c>
    </row>
    <row r="125" spans="2:13" ht="15.75" thickBot="1" x14ac:dyDescent="0.3">
      <c r="B125" s="41" t="s">
        <v>112</v>
      </c>
      <c r="C125" s="45">
        <f>SUM(C126:C146)</f>
        <v>211525</v>
      </c>
      <c r="D125" s="45">
        <f>SUM(D126:D146)</f>
        <v>5627</v>
      </c>
      <c r="E125" s="45">
        <f t="shared" ref="E125" si="16">SUM(E126:E146)</f>
        <v>6070</v>
      </c>
      <c r="F125" s="45"/>
      <c r="G125" s="45"/>
      <c r="H125" s="45"/>
      <c r="I125" s="45">
        <f>SUM(I126:I146)</f>
        <v>223222</v>
      </c>
      <c r="M125" s="56"/>
    </row>
    <row r="126" spans="2:13" x14ac:dyDescent="0.25">
      <c r="B126" s="6" t="s">
        <v>113</v>
      </c>
      <c r="C126" s="124">
        <f>5700+600+400+2000-200</f>
        <v>8500</v>
      </c>
      <c r="D126" s="7"/>
      <c r="E126" s="7">
        <v>150</v>
      </c>
      <c r="F126" s="7"/>
      <c r="G126" s="7"/>
      <c r="H126" s="7"/>
      <c r="I126" s="9">
        <f>SUM(C126:H126)</f>
        <v>8650</v>
      </c>
    </row>
    <row r="127" spans="2:13" x14ac:dyDescent="0.25">
      <c r="B127" s="8" t="s">
        <v>114</v>
      </c>
      <c r="C127" s="104">
        <f>350-200-50</f>
        <v>100</v>
      </c>
      <c r="D127" s="73"/>
      <c r="E127" s="9"/>
      <c r="F127" s="9"/>
      <c r="G127" s="9"/>
      <c r="H127" s="9"/>
      <c r="I127" s="9">
        <f t="shared" ref="I127:I146" si="17">SUM(C127:H127)</f>
        <v>100</v>
      </c>
    </row>
    <row r="128" spans="2:13" x14ac:dyDescent="0.25">
      <c r="B128" s="8" t="s">
        <v>162</v>
      </c>
      <c r="C128" s="73">
        <f>100+1100</f>
        <v>1200</v>
      </c>
      <c r="D128" s="73"/>
      <c r="E128" s="9"/>
      <c r="F128" s="9"/>
      <c r="G128" s="9"/>
      <c r="H128" s="9"/>
      <c r="I128" s="9">
        <f t="shared" si="17"/>
        <v>1200</v>
      </c>
    </row>
    <row r="129" spans="2:9" x14ac:dyDescent="0.25">
      <c r="B129" s="8" t="s">
        <v>115</v>
      </c>
      <c r="C129" s="73">
        <f>700</f>
        <v>700</v>
      </c>
      <c r="D129" s="73"/>
      <c r="E129" s="9"/>
      <c r="F129" s="9"/>
      <c r="G129" s="9"/>
      <c r="H129" s="9"/>
      <c r="I129" s="9">
        <f t="shared" si="17"/>
        <v>700</v>
      </c>
    </row>
    <row r="130" spans="2:9" x14ac:dyDescent="0.25">
      <c r="B130" s="8" t="s">
        <v>116</v>
      </c>
      <c r="C130" s="9"/>
      <c r="D130" s="9"/>
      <c r="E130" s="9">
        <v>20</v>
      </c>
      <c r="F130" s="9"/>
      <c r="G130" s="9"/>
      <c r="H130" s="9"/>
      <c r="I130" s="9">
        <f t="shared" si="17"/>
        <v>20</v>
      </c>
    </row>
    <row r="131" spans="2:9" x14ac:dyDescent="0.25">
      <c r="B131" s="8" t="s">
        <v>117</v>
      </c>
      <c r="C131" s="9"/>
      <c r="D131" s="9"/>
      <c r="E131" s="9">
        <v>200</v>
      </c>
      <c r="F131" s="9"/>
      <c r="G131" s="9"/>
      <c r="H131" s="9"/>
      <c r="I131" s="9">
        <f t="shared" si="17"/>
        <v>200</v>
      </c>
    </row>
    <row r="132" spans="2:9" x14ac:dyDescent="0.25">
      <c r="B132" s="8" t="s">
        <v>118</v>
      </c>
      <c r="C132" s="9"/>
      <c r="D132" s="9"/>
      <c r="E132" s="102">
        <f>500+100</f>
        <v>600</v>
      </c>
      <c r="F132" s="9"/>
      <c r="G132" s="9"/>
      <c r="H132" s="9"/>
      <c r="I132" s="9">
        <f t="shared" si="17"/>
        <v>600</v>
      </c>
    </row>
    <row r="133" spans="2:9" x14ac:dyDescent="0.25">
      <c r="B133" s="8" t="s">
        <v>119</v>
      </c>
      <c r="C133" s="104">
        <f>8500+1500+72+965-1000+723+2000</f>
        <v>12760</v>
      </c>
      <c r="D133" s="73"/>
      <c r="E133" s="9">
        <v>1000</v>
      </c>
      <c r="F133" s="9"/>
      <c r="G133" s="9"/>
      <c r="H133" s="9"/>
      <c r="I133" s="9">
        <f t="shared" si="17"/>
        <v>13760</v>
      </c>
    </row>
    <row r="134" spans="2:9" x14ac:dyDescent="0.25">
      <c r="B134" s="8" t="s">
        <v>163</v>
      </c>
      <c r="C134" s="9">
        <f>900-50</f>
        <v>850</v>
      </c>
      <c r="D134" s="9"/>
      <c r="E134" s="9"/>
      <c r="F134" s="9"/>
      <c r="G134" s="9"/>
      <c r="H134" s="9"/>
      <c r="I134" s="9">
        <f t="shared" si="17"/>
        <v>850</v>
      </c>
    </row>
    <row r="135" spans="2:9" x14ac:dyDescent="0.25">
      <c r="B135" s="8" t="s">
        <v>120</v>
      </c>
      <c r="C135" s="9">
        <v>1200</v>
      </c>
      <c r="D135" s="9"/>
      <c r="E135" s="9"/>
      <c r="F135" s="9"/>
      <c r="G135" s="9"/>
      <c r="H135" s="9"/>
      <c r="I135" s="9">
        <f t="shared" si="17"/>
        <v>1200</v>
      </c>
    </row>
    <row r="136" spans="2:9" x14ac:dyDescent="0.25">
      <c r="B136" s="23" t="s">
        <v>121</v>
      </c>
      <c r="C136" s="73">
        <f>21800+5000+5700+4714</f>
        <v>37214</v>
      </c>
      <c r="D136" s="73"/>
      <c r="E136" s="102">
        <f>1000-200+100</f>
        <v>900</v>
      </c>
      <c r="F136" s="9"/>
      <c r="G136" s="9"/>
      <c r="H136" s="9"/>
      <c r="I136" s="9">
        <f t="shared" si="17"/>
        <v>38114</v>
      </c>
    </row>
    <row r="137" spans="2:9" x14ac:dyDescent="0.25">
      <c r="B137" s="8" t="s">
        <v>122</v>
      </c>
      <c r="C137" s="66">
        <f>53648+7892</f>
        <v>61540</v>
      </c>
      <c r="D137" s="66"/>
      <c r="E137" s="9">
        <f>1000-200-200</f>
        <v>600</v>
      </c>
      <c r="F137" s="9"/>
      <c r="G137" s="9"/>
      <c r="H137" s="66"/>
      <c r="I137" s="9">
        <f t="shared" si="17"/>
        <v>62140</v>
      </c>
    </row>
    <row r="138" spans="2:9" x14ac:dyDescent="0.25">
      <c r="B138" s="8" t="s">
        <v>158</v>
      </c>
      <c r="C138" s="66">
        <f>33077+3200+29000+10916</f>
        <v>76193</v>
      </c>
      <c r="D138" s="66"/>
      <c r="E138" s="9">
        <v>500</v>
      </c>
      <c r="F138" s="9"/>
      <c r="G138" s="9"/>
      <c r="H138" s="9"/>
      <c r="I138" s="9">
        <f t="shared" si="17"/>
        <v>76693</v>
      </c>
    </row>
    <row r="139" spans="2:9" x14ac:dyDescent="0.25">
      <c r="B139" s="8" t="s">
        <v>123</v>
      </c>
      <c r="C139" s="125">
        <f>1200-450</f>
        <v>750</v>
      </c>
      <c r="D139" s="90">
        <v>64</v>
      </c>
      <c r="E139" s="103">
        <f>1000-500+500+200-200</f>
        <v>1000</v>
      </c>
      <c r="F139" s="90"/>
      <c r="G139" s="90"/>
      <c r="H139" s="13"/>
      <c r="I139" s="9">
        <f t="shared" si="17"/>
        <v>1814</v>
      </c>
    </row>
    <row r="140" spans="2:9" x14ac:dyDescent="0.25">
      <c r="B140" s="8" t="s">
        <v>124</v>
      </c>
      <c r="C140" s="102">
        <f>3100+400+100</f>
        <v>3600</v>
      </c>
      <c r="D140" s="9"/>
      <c r="E140" s="9"/>
      <c r="F140" s="9"/>
      <c r="G140" s="9"/>
      <c r="H140" s="9"/>
      <c r="I140" s="9">
        <f t="shared" si="17"/>
        <v>3600</v>
      </c>
    </row>
    <row r="141" spans="2:9" x14ac:dyDescent="0.25">
      <c r="B141" s="8" t="s">
        <v>125</v>
      </c>
      <c r="C141" s="102">
        <f>1800-600+400-400</f>
        <v>1200</v>
      </c>
      <c r="D141" s="9"/>
      <c r="E141" s="9"/>
      <c r="F141" s="9"/>
      <c r="G141" s="9"/>
      <c r="H141" s="9"/>
      <c r="I141" s="9">
        <f t="shared" si="17"/>
        <v>1200</v>
      </c>
    </row>
    <row r="142" spans="2:9" x14ac:dyDescent="0.25">
      <c r="B142" s="8" t="s">
        <v>164</v>
      </c>
      <c r="C142" s="102">
        <f>166-38-100</f>
        <v>28</v>
      </c>
      <c r="D142" s="9"/>
      <c r="E142" s="9"/>
      <c r="F142" s="9"/>
      <c r="G142" s="9"/>
      <c r="H142" s="9"/>
      <c r="I142" s="9">
        <f t="shared" si="17"/>
        <v>28</v>
      </c>
    </row>
    <row r="143" spans="2:9" x14ac:dyDescent="0.25">
      <c r="B143" s="8" t="s">
        <v>126</v>
      </c>
      <c r="C143" s="102">
        <f>1200+300-110</f>
        <v>1390</v>
      </c>
      <c r="D143" s="9"/>
      <c r="E143" s="102">
        <f>100+100-100</f>
        <v>100</v>
      </c>
      <c r="F143" s="9"/>
      <c r="G143" s="9"/>
      <c r="H143" s="9"/>
      <c r="I143" s="9">
        <f t="shared" si="17"/>
        <v>1490</v>
      </c>
    </row>
    <row r="144" spans="2:9" x14ac:dyDescent="0.25">
      <c r="B144" s="8" t="s">
        <v>127</v>
      </c>
      <c r="C144" s="9">
        <v>1600</v>
      </c>
      <c r="D144" s="9"/>
      <c r="E144" s="9"/>
      <c r="F144" s="9"/>
      <c r="G144" s="9"/>
      <c r="H144" s="9"/>
      <c r="I144" s="9">
        <f t="shared" si="17"/>
        <v>1600</v>
      </c>
    </row>
    <row r="145" spans="2:9" x14ac:dyDescent="0.25">
      <c r="B145" s="8" t="s">
        <v>128</v>
      </c>
      <c r="C145" s="108">
        <f>400-100+2400</f>
        <v>2700</v>
      </c>
      <c r="D145" s="66">
        <v>5500</v>
      </c>
      <c r="E145" s="9">
        <v>100</v>
      </c>
      <c r="F145" s="9"/>
      <c r="G145" s="9"/>
      <c r="H145" s="9"/>
      <c r="I145" s="9">
        <f>SUM(C145:H145)</f>
        <v>8300</v>
      </c>
    </row>
    <row r="146" spans="2:9" ht="15.75" thickBot="1" x14ac:dyDescent="0.3">
      <c r="B146" s="17" t="s">
        <v>129</v>
      </c>
      <c r="C146" s="1"/>
      <c r="D146" s="114">
        <f>39+24</f>
        <v>63</v>
      </c>
      <c r="E146" s="114">
        <f>600+200+100</f>
        <v>900</v>
      </c>
      <c r="F146" s="1"/>
      <c r="G146" s="1"/>
      <c r="H146" s="1"/>
      <c r="I146" s="9">
        <f t="shared" si="17"/>
        <v>963</v>
      </c>
    </row>
    <row r="147" spans="2:9" ht="15.75" thickBot="1" x14ac:dyDescent="0.3">
      <c r="B147" s="46" t="s">
        <v>152</v>
      </c>
      <c r="C147" s="113"/>
      <c r="D147" s="44"/>
      <c r="E147" s="131">
        <v>1985</v>
      </c>
      <c r="F147" s="44"/>
      <c r="G147" s="133"/>
      <c r="H147" s="44"/>
      <c r="I147" s="72">
        <f>SUM(C147:H147)</f>
        <v>1985</v>
      </c>
    </row>
    <row r="148" spans="2:9" ht="15.75" thickBot="1" x14ac:dyDescent="0.3">
      <c r="B148" s="52" t="s">
        <v>130</v>
      </c>
      <c r="C148" s="44"/>
      <c r="D148" s="44"/>
      <c r="E148" s="132">
        <f>1500+1500+200+500</f>
        <v>3700</v>
      </c>
      <c r="F148" s="44"/>
      <c r="G148" s="44"/>
      <c r="H148" s="134"/>
      <c r="I148" s="72">
        <f t="shared" ref="I148" si="18">SUM(C148:H148)</f>
        <v>3700</v>
      </c>
    </row>
    <row r="149" spans="2:9" ht="15.75" thickBot="1" x14ac:dyDescent="0.3">
      <c r="B149" s="47" t="s">
        <v>151</v>
      </c>
      <c r="C149" s="65">
        <f>SUM(C150:C153)</f>
        <v>2000</v>
      </c>
      <c r="D149" s="44"/>
      <c r="E149" s="86">
        <f t="shared" ref="E149:G149" si="19">SUM(E150:E153)</f>
        <v>975</v>
      </c>
      <c r="F149" s="86">
        <f t="shared" si="19"/>
        <v>0</v>
      </c>
      <c r="G149" s="86">
        <f t="shared" si="19"/>
        <v>0</v>
      </c>
      <c r="H149" s="84"/>
      <c r="I149" s="72">
        <f>SUM(I150:I153)</f>
        <v>2975</v>
      </c>
    </row>
    <row r="150" spans="2:9" x14ac:dyDescent="0.25">
      <c r="B150" s="6" t="s">
        <v>131</v>
      </c>
      <c r="C150" s="7">
        <v>1800</v>
      </c>
      <c r="D150" s="7"/>
      <c r="E150" s="7"/>
      <c r="F150" s="7"/>
      <c r="G150" s="7"/>
      <c r="H150" s="7"/>
      <c r="I150" s="9">
        <f>SUM(C150:E150)</f>
        <v>1800</v>
      </c>
    </row>
    <row r="151" spans="2:9" x14ac:dyDescent="0.25">
      <c r="B151" s="8" t="s">
        <v>132</v>
      </c>
      <c r="C151" s="9"/>
      <c r="D151" s="9"/>
      <c r="E151" s="102">
        <f>100+375</f>
        <v>475</v>
      </c>
      <c r="F151" s="102"/>
      <c r="G151" s="9"/>
      <c r="H151" s="9"/>
      <c r="I151" s="9">
        <f>SUM(C151:H151)</f>
        <v>475</v>
      </c>
    </row>
    <row r="152" spans="2:9" x14ac:dyDescent="0.25">
      <c r="B152" s="12" t="s">
        <v>133</v>
      </c>
      <c r="C152" s="9">
        <v>200</v>
      </c>
      <c r="D152" s="9"/>
      <c r="E152" s="9">
        <f>300+100</f>
        <v>400</v>
      </c>
      <c r="F152" s="9"/>
      <c r="G152" s="9"/>
      <c r="H152" s="9"/>
      <c r="I152" s="9">
        <f t="shared" ref="I152:I153" si="20">SUM(C152:E152)</f>
        <v>600</v>
      </c>
    </row>
    <row r="153" spans="2:9" ht="15.75" thickBot="1" x14ac:dyDescent="0.3">
      <c r="B153" s="18" t="s">
        <v>134</v>
      </c>
      <c r="C153" s="1"/>
      <c r="D153" s="1"/>
      <c r="E153" s="1">
        <v>100</v>
      </c>
      <c r="F153" s="1"/>
      <c r="G153" s="1"/>
      <c r="H153" s="1"/>
      <c r="I153" s="9">
        <f t="shared" si="20"/>
        <v>100</v>
      </c>
    </row>
    <row r="154" spans="2:9" ht="15.75" thickBot="1" x14ac:dyDescent="0.3">
      <c r="B154" s="50" t="s">
        <v>150</v>
      </c>
      <c r="C154" s="42"/>
      <c r="D154" s="43"/>
      <c r="E154" s="119">
        <f>1000-100+100</f>
        <v>1000</v>
      </c>
      <c r="F154" s="43"/>
      <c r="G154" s="43"/>
      <c r="H154" s="82"/>
      <c r="I154" s="44">
        <f>SUM(C154:E154)</f>
        <v>1000</v>
      </c>
    </row>
    <row r="155" spans="2:9" ht="15.75" thickBot="1" x14ac:dyDescent="0.3">
      <c r="B155" s="41" t="s">
        <v>135</v>
      </c>
      <c r="C155" s="42"/>
      <c r="D155" s="43"/>
      <c r="E155" s="43">
        <f>200+400+100-200+300</f>
        <v>800</v>
      </c>
      <c r="F155" s="43"/>
      <c r="G155" s="43"/>
      <c r="H155" s="82"/>
      <c r="I155" s="44">
        <f>SUM(C155:E155)</f>
        <v>800</v>
      </c>
    </row>
    <row r="156" spans="2:9" ht="16.5" thickBot="1" x14ac:dyDescent="0.3">
      <c r="B156" s="29" t="s">
        <v>136</v>
      </c>
      <c r="C156" s="30">
        <f t="shared" ref="C156:H156" si="21">SUM(C20,C21,C22,C30,C33,C58,C68,C93,C100,C125,C147,C148,C149,C154,C155,C23)</f>
        <v>2762073</v>
      </c>
      <c r="D156" s="30">
        <f t="shared" si="21"/>
        <v>17473</v>
      </c>
      <c r="E156" s="30">
        <f t="shared" si="21"/>
        <v>78730</v>
      </c>
      <c r="F156" s="30">
        <f t="shared" si="21"/>
        <v>2551</v>
      </c>
      <c r="G156" s="30">
        <f t="shared" si="21"/>
        <v>40</v>
      </c>
      <c r="H156" s="30">
        <f t="shared" si="21"/>
        <v>288</v>
      </c>
      <c r="I156" s="30">
        <f>SUM(I20,I21,I22,I23,I30,I33,I58,I68,I93,I100,I125,I147,I148,I149,I154,I155)</f>
        <v>2861155</v>
      </c>
    </row>
    <row r="157" spans="2:9" x14ac:dyDescent="0.25">
      <c r="B157" s="19" t="s">
        <v>166</v>
      </c>
      <c r="C157" s="20"/>
      <c r="D157" s="20"/>
      <c r="E157" s="9"/>
      <c r="F157" s="64"/>
      <c r="G157" s="64"/>
      <c r="H157" s="77"/>
      <c r="I157" s="2">
        <f>SUM(C157:H157)</f>
        <v>0</v>
      </c>
    </row>
    <row r="158" spans="2:9" x14ac:dyDescent="0.25">
      <c r="B158" s="19" t="s">
        <v>137</v>
      </c>
      <c r="C158" s="20"/>
      <c r="D158" s="20"/>
      <c r="E158" s="9"/>
      <c r="F158" s="64"/>
      <c r="G158" s="64"/>
      <c r="H158" s="77">
        <v>2797</v>
      </c>
      <c r="I158" s="2">
        <f t="shared" ref="I158:I171" si="22">SUM(C158:H158)</f>
        <v>2797</v>
      </c>
    </row>
    <row r="159" spans="2:9" x14ac:dyDescent="0.25">
      <c r="B159" s="19" t="s">
        <v>156</v>
      </c>
      <c r="C159" s="20"/>
      <c r="D159" s="20">
        <v>4000</v>
      </c>
      <c r="E159" s="9"/>
      <c r="F159" s="64"/>
      <c r="G159" s="64"/>
      <c r="H159" s="77"/>
      <c r="I159" s="2">
        <f t="shared" si="22"/>
        <v>4000</v>
      </c>
    </row>
    <row r="160" spans="2:9" x14ac:dyDescent="0.25">
      <c r="B160" s="21" t="s">
        <v>138</v>
      </c>
      <c r="C160" s="20"/>
      <c r="D160" s="20"/>
      <c r="E160" s="9"/>
      <c r="F160" s="64"/>
      <c r="G160" s="64"/>
      <c r="H160" s="77"/>
      <c r="I160" s="2">
        <f t="shared" si="22"/>
        <v>0</v>
      </c>
    </row>
    <row r="161" spans="1:13" x14ac:dyDescent="0.25">
      <c r="B161" s="21" t="s">
        <v>175</v>
      </c>
      <c r="C161" s="20"/>
      <c r="D161" s="20"/>
      <c r="E161" s="9"/>
      <c r="F161" s="64"/>
      <c r="G161" s="64"/>
      <c r="H161" s="77"/>
      <c r="I161" s="2">
        <f t="shared" si="22"/>
        <v>0</v>
      </c>
    </row>
    <row r="162" spans="1:13" x14ac:dyDescent="0.25">
      <c r="B162" s="21" t="s">
        <v>200</v>
      </c>
      <c r="C162" s="20"/>
      <c r="D162" s="20"/>
      <c r="E162" s="9"/>
      <c r="F162" s="64">
        <v>4000</v>
      </c>
      <c r="G162" s="64"/>
      <c r="H162" s="77"/>
      <c r="I162" s="2">
        <f t="shared" si="22"/>
        <v>4000</v>
      </c>
    </row>
    <row r="163" spans="1:13" x14ac:dyDescent="0.25">
      <c r="B163" s="21" t="s">
        <v>140</v>
      </c>
      <c r="C163" s="20"/>
      <c r="D163" s="20">
        <v>23084</v>
      </c>
      <c r="E163" s="9">
        <f>200-100-50</f>
        <v>50</v>
      </c>
      <c r="F163" s="64"/>
      <c r="G163" s="64"/>
      <c r="H163" s="77"/>
      <c r="I163" s="2">
        <f t="shared" si="22"/>
        <v>23134</v>
      </c>
    </row>
    <row r="164" spans="1:13" x14ac:dyDescent="0.25">
      <c r="B164" s="19" t="s">
        <v>141</v>
      </c>
      <c r="C164" s="20"/>
      <c r="D164" s="20">
        <f>34727+3510</f>
        <v>38237</v>
      </c>
      <c r="E164" s="9">
        <f>600-200</f>
        <v>400</v>
      </c>
      <c r="F164" s="64"/>
      <c r="G164" s="64"/>
      <c r="H164" s="77"/>
      <c r="I164" s="2">
        <f t="shared" si="22"/>
        <v>38637</v>
      </c>
    </row>
    <row r="165" spans="1:13" x14ac:dyDescent="0.25">
      <c r="B165" s="21" t="s">
        <v>142</v>
      </c>
      <c r="C165" s="20"/>
      <c r="D165" s="20">
        <v>500</v>
      </c>
      <c r="E165" s="9">
        <f>400+200+150+100+200+20+100+50</f>
        <v>1220</v>
      </c>
      <c r="F165" s="64">
        <v>729</v>
      </c>
      <c r="G165" s="64"/>
      <c r="H165" s="77"/>
      <c r="I165" s="2">
        <f t="shared" si="22"/>
        <v>2449</v>
      </c>
      <c r="L165" s="56"/>
    </row>
    <row r="166" spans="1:13" x14ac:dyDescent="0.25">
      <c r="B166" s="21" t="s">
        <v>176</v>
      </c>
      <c r="C166" s="20"/>
      <c r="D166" s="20">
        <v>528</v>
      </c>
      <c r="E166" s="9">
        <f>15+20</f>
        <v>35</v>
      </c>
      <c r="F166" s="64"/>
      <c r="G166" s="64"/>
      <c r="H166" s="77"/>
      <c r="I166" s="2">
        <f t="shared" si="22"/>
        <v>563</v>
      </c>
    </row>
    <row r="167" spans="1:13" x14ac:dyDescent="0.25">
      <c r="B167" s="19" t="s">
        <v>143</v>
      </c>
      <c r="C167" s="20"/>
      <c r="D167" s="20"/>
      <c r="E167" s="9">
        <f>300-150+100+300+50</f>
        <v>600</v>
      </c>
      <c r="F167" s="64"/>
      <c r="G167" s="64"/>
      <c r="H167" s="77"/>
      <c r="I167" s="2">
        <f t="shared" si="22"/>
        <v>600</v>
      </c>
    </row>
    <row r="168" spans="1:13" x14ac:dyDescent="0.25">
      <c r="B168" s="22" t="s">
        <v>144</v>
      </c>
      <c r="C168" s="20"/>
      <c r="D168" s="20">
        <f>22200+34372+4500</f>
        <v>61072</v>
      </c>
      <c r="E168" s="9">
        <v>500</v>
      </c>
      <c r="F168" s="64"/>
      <c r="G168" s="106">
        <v>14708</v>
      </c>
      <c r="H168" s="77"/>
      <c r="I168" s="2">
        <f t="shared" si="22"/>
        <v>76280</v>
      </c>
    </row>
    <row r="169" spans="1:13" x14ac:dyDescent="0.25">
      <c r="B169" s="19" t="s">
        <v>145</v>
      </c>
      <c r="C169" s="20"/>
      <c r="D169" s="20"/>
      <c r="E169" s="9">
        <v>0</v>
      </c>
      <c r="F169" s="64"/>
      <c r="G169" s="64"/>
      <c r="H169" s="77"/>
      <c r="I169" s="2">
        <f t="shared" si="22"/>
        <v>0</v>
      </c>
    </row>
    <row r="170" spans="1:13" x14ac:dyDescent="0.25">
      <c r="B170" s="19" t="s">
        <v>168</v>
      </c>
      <c r="C170" s="20"/>
      <c r="D170" s="20"/>
      <c r="E170" s="9">
        <f>200-100</f>
        <v>100</v>
      </c>
      <c r="F170" s="64"/>
      <c r="G170" s="64"/>
      <c r="H170" s="77"/>
      <c r="I170" s="2">
        <f t="shared" si="22"/>
        <v>100</v>
      </c>
    </row>
    <row r="171" spans="1:13" ht="15.75" thickBot="1" x14ac:dyDescent="0.3">
      <c r="B171" s="19" t="s">
        <v>146</v>
      </c>
      <c r="C171" s="20"/>
      <c r="D171" s="20"/>
      <c r="E171" s="9">
        <v>50</v>
      </c>
      <c r="F171" s="64"/>
      <c r="G171" s="64"/>
      <c r="H171" s="77"/>
      <c r="I171" s="2">
        <f t="shared" si="22"/>
        <v>50</v>
      </c>
    </row>
    <row r="172" spans="1:13" ht="13.5" customHeight="1" thickBot="1" x14ac:dyDescent="0.3">
      <c r="B172" s="29" t="s">
        <v>147</v>
      </c>
      <c r="C172" s="30">
        <f t="shared" ref="C172:I172" si="23">SUM(C157:C171)</f>
        <v>0</v>
      </c>
      <c r="D172" s="30">
        <f t="shared" si="23"/>
        <v>127421</v>
      </c>
      <c r="E172" s="30">
        <f>SUM(E157:E171)</f>
        <v>2955</v>
      </c>
      <c r="F172" s="30">
        <f t="shared" si="23"/>
        <v>4729</v>
      </c>
      <c r="G172" s="30">
        <f t="shared" si="23"/>
        <v>14708</v>
      </c>
      <c r="H172" s="30">
        <f t="shared" si="23"/>
        <v>2797</v>
      </c>
      <c r="I172" s="30">
        <f t="shared" si="23"/>
        <v>152610</v>
      </c>
    </row>
    <row r="173" spans="1:13" ht="16.5" customHeight="1" thickBot="1" x14ac:dyDescent="0.3">
      <c r="B173" s="34" t="s">
        <v>148</v>
      </c>
      <c r="C173" s="35">
        <f t="shared" ref="C173:H173" si="24">C156+C172</f>
        <v>2762073</v>
      </c>
      <c r="D173" s="35">
        <f t="shared" si="24"/>
        <v>144894</v>
      </c>
      <c r="E173" s="35">
        <f t="shared" si="24"/>
        <v>81685</v>
      </c>
      <c r="F173" s="35">
        <f>F156+F172</f>
        <v>7280</v>
      </c>
      <c r="G173" s="35">
        <f>G156+G172</f>
        <v>14748</v>
      </c>
      <c r="H173" s="35">
        <f t="shared" si="24"/>
        <v>3085</v>
      </c>
      <c r="I173" s="35">
        <f>I156+I172</f>
        <v>3013765</v>
      </c>
      <c r="M173" s="56"/>
    </row>
    <row r="174" spans="1:13" ht="188.25" customHeight="1" x14ac:dyDescent="0.25">
      <c r="A174" s="89"/>
      <c r="B174" s="146" t="s">
        <v>224</v>
      </c>
      <c r="C174" s="146"/>
      <c r="D174" s="146"/>
      <c r="E174" s="146"/>
      <c r="F174" s="146"/>
      <c r="G174" s="146"/>
      <c r="H174" s="146"/>
      <c r="I174" s="146"/>
    </row>
    <row r="175" spans="1:13" ht="15" customHeight="1" x14ac:dyDescent="0.25">
      <c r="E175" s="147" t="s">
        <v>179</v>
      </c>
      <c r="F175" s="147"/>
      <c r="G175" s="147"/>
      <c r="H175" s="147"/>
      <c r="I175" s="147"/>
    </row>
    <row r="176" spans="1:13" ht="1.5" hidden="1" customHeight="1" x14ac:dyDescent="0.25">
      <c r="E176" s="147" t="s">
        <v>180</v>
      </c>
      <c r="F176" s="147"/>
      <c r="G176" s="147"/>
      <c r="H176" s="147"/>
      <c r="I176" s="147"/>
    </row>
    <row r="177" spans="3:9" hidden="1" x14ac:dyDescent="0.25">
      <c r="C177" s="56"/>
      <c r="D177" s="56"/>
      <c r="E177" s="147"/>
      <c r="F177" s="147"/>
      <c r="G177" s="147"/>
      <c r="H177" s="147"/>
      <c r="I177" s="147"/>
    </row>
  </sheetData>
  <mergeCells count="5">
    <mergeCell ref="B2:I2"/>
    <mergeCell ref="B3:I3"/>
    <mergeCell ref="B174:I174"/>
    <mergeCell ref="E175:I175"/>
    <mergeCell ref="E176:I177"/>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6"/>
  <sheetViews>
    <sheetView topLeftCell="A22" zoomScale="110" zoomScaleNormal="110" workbookViewId="0">
      <selection activeCell="G45" sqref="G45"/>
    </sheetView>
  </sheetViews>
  <sheetFormatPr defaultRowHeight="15" x14ac:dyDescent="0.25"/>
  <cols>
    <col min="1" max="1" width="54.7109375" customWidth="1"/>
    <col min="2" max="2" width="13.5703125" customWidth="1"/>
    <col min="3" max="3" width="12.7109375" customWidth="1"/>
  </cols>
  <sheetData>
    <row r="2" spans="1:3" x14ac:dyDescent="0.25">
      <c r="A2" s="148" t="s">
        <v>0</v>
      </c>
      <c r="B2" s="148"/>
      <c r="C2" s="148"/>
    </row>
    <row r="3" spans="1:3" x14ac:dyDescent="0.25">
      <c r="A3" s="149" t="s">
        <v>218</v>
      </c>
      <c r="B3" s="149"/>
      <c r="C3" s="149"/>
    </row>
    <row r="4" spans="1:3" ht="15.75" thickBot="1" x14ac:dyDescent="0.3">
      <c r="A4" s="59"/>
      <c r="B4" s="5" t="s">
        <v>1</v>
      </c>
      <c r="C4" s="130"/>
    </row>
    <row r="5" spans="1:3" ht="43.5" thickBot="1" x14ac:dyDescent="0.3">
      <c r="A5" s="24" t="s">
        <v>2</v>
      </c>
      <c r="B5" s="25" t="s">
        <v>5</v>
      </c>
      <c r="C5" s="57" t="s">
        <v>154</v>
      </c>
    </row>
    <row r="6" spans="1:3" ht="15.75" x14ac:dyDescent="0.25">
      <c r="A6" s="26" t="s">
        <v>6</v>
      </c>
      <c r="B6" s="28"/>
      <c r="C6" s="28"/>
    </row>
    <row r="7" spans="1:3" x14ac:dyDescent="0.25">
      <c r="A7" s="6" t="s">
        <v>9</v>
      </c>
      <c r="B7" s="2">
        <v>2726232</v>
      </c>
      <c r="C7" s="67" t="s">
        <v>7</v>
      </c>
    </row>
    <row r="8" spans="1:3" x14ac:dyDescent="0.25">
      <c r="A8" s="8" t="s">
        <v>10</v>
      </c>
      <c r="B8" s="2">
        <v>30703</v>
      </c>
      <c r="C8" s="67" t="s">
        <v>7</v>
      </c>
    </row>
    <row r="9" spans="1:3" x14ac:dyDescent="0.25">
      <c r="A9" s="8" t="s">
        <v>195</v>
      </c>
      <c r="B9" s="2">
        <v>67385</v>
      </c>
      <c r="C9" s="67" t="s">
        <v>8</v>
      </c>
    </row>
    <row r="10" spans="1:3" x14ac:dyDescent="0.25">
      <c r="A10" s="8" t="s">
        <v>169</v>
      </c>
      <c r="B10" s="2">
        <v>11177</v>
      </c>
      <c r="C10" s="67" t="s">
        <v>155</v>
      </c>
    </row>
    <row r="11" spans="1:3" x14ac:dyDescent="0.25">
      <c r="A11" s="8" t="s">
        <v>171</v>
      </c>
      <c r="B11" s="2">
        <v>139720</v>
      </c>
      <c r="C11" s="67" t="s">
        <v>202</v>
      </c>
    </row>
    <row r="12" spans="1:3" x14ac:dyDescent="0.25">
      <c r="A12" s="8" t="s">
        <v>196</v>
      </c>
      <c r="B12" s="2">
        <v>12454</v>
      </c>
      <c r="C12" s="67" t="s">
        <v>198</v>
      </c>
    </row>
    <row r="13" spans="1:3" x14ac:dyDescent="0.25">
      <c r="A13" s="136" t="s">
        <v>221</v>
      </c>
      <c r="B13" s="2">
        <v>14748</v>
      </c>
      <c r="C13" s="67" t="s">
        <v>219</v>
      </c>
    </row>
    <row r="14" spans="1:3" x14ac:dyDescent="0.25">
      <c r="A14" s="53" t="s">
        <v>13</v>
      </c>
      <c r="B14" s="2">
        <v>8261</v>
      </c>
      <c r="C14" s="67" t="s">
        <v>155</v>
      </c>
    </row>
    <row r="15" spans="1:3" ht="15.75" thickBot="1" x14ac:dyDescent="0.3">
      <c r="A15" s="10" t="s">
        <v>172</v>
      </c>
      <c r="B15" s="2">
        <v>3085</v>
      </c>
      <c r="C15" s="67" t="s">
        <v>174</v>
      </c>
    </row>
    <row r="16" spans="1:3" ht="16.5" thickBot="1" x14ac:dyDescent="0.3">
      <c r="A16" s="29" t="s">
        <v>14</v>
      </c>
      <c r="B16" s="30">
        <v>3013765</v>
      </c>
      <c r="C16" s="58"/>
    </row>
    <row r="17" spans="1:3" ht="16.5" thickBot="1" x14ac:dyDescent="0.3">
      <c r="A17" s="3"/>
      <c r="B17" s="11"/>
    </row>
    <row r="18" spans="1:3" ht="43.5" thickBot="1" x14ac:dyDescent="0.3">
      <c r="A18" s="24" t="s">
        <v>15</v>
      </c>
      <c r="B18" s="25" t="s">
        <v>5</v>
      </c>
      <c r="C18" s="51" t="s">
        <v>154</v>
      </c>
    </row>
    <row r="19" spans="1:3" ht="16.5" thickBot="1" x14ac:dyDescent="0.3">
      <c r="A19" s="31" t="s">
        <v>6</v>
      </c>
      <c r="B19" s="28"/>
      <c r="C19" s="32"/>
    </row>
    <row r="20" spans="1:3" ht="15.75" thickBot="1" x14ac:dyDescent="0.3">
      <c r="A20" s="38" t="s">
        <v>16</v>
      </c>
      <c r="B20" s="45">
        <v>2285226</v>
      </c>
      <c r="C20" s="63" t="s">
        <v>211</v>
      </c>
    </row>
    <row r="21" spans="1:3" ht="15.75" thickBot="1" x14ac:dyDescent="0.3">
      <c r="A21" s="39" t="s">
        <v>17</v>
      </c>
      <c r="B21" s="45">
        <v>56699</v>
      </c>
      <c r="C21" s="69" t="s">
        <v>155</v>
      </c>
    </row>
    <row r="22" spans="1:3" ht="15.75" thickBot="1" x14ac:dyDescent="0.3">
      <c r="A22" s="40" t="s">
        <v>18</v>
      </c>
      <c r="B22" s="45">
        <v>2540</v>
      </c>
      <c r="C22" s="67" t="s">
        <v>8</v>
      </c>
    </row>
    <row r="23" spans="1:3" ht="15.75" thickBot="1" x14ac:dyDescent="0.3">
      <c r="A23" s="41" t="s">
        <v>19</v>
      </c>
      <c r="B23" s="42">
        <v>47924</v>
      </c>
      <c r="C23" s="69" t="s">
        <v>155</v>
      </c>
    </row>
    <row r="24" spans="1:3" x14ac:dyDescent="0.25">
      <c r="A24" s="110" t="s">
        <v>177</v>
      </c>
      <c r="B24" s="75">
        <v>104</v>
      </c>
      <c r="C24" s="60" t="s">
        <v>7</v>
      </c>
    </row>
    <row r="25" spans="1:3" x14ac:dyDescent="0.25">
      <c r="A25" s="6" t="s">
        <v>20</v>
      </c>
      <c r="B25" s="7">
        <v>600</v>
      </c>
      <c r="C25" s="60" t="s">
        <v>8</v>
      </c>
    </row>
    <row r="26" spans="1:3" x14ac:dyDescent="0.25">
      <c r="A26" s="8" t="s">
        <v>185</v>
      </c>
      <c r="B26" s="7">
        <v>17750</v>
      </c>
      <c r="C26" s="69" t="s">
        <v>155</v>
      </c>
    </row>
    <row r="27" spans="1:3" x14ac:dyDescent="0.25">
      <c r="A27" s="8" t="s">
        <v>22</v>
      </c>
      <c r="B27" s="7">
        <v>600</v>
      </c>
      <c r="C27" s="60" t="s">
        <v>155</v>
      </c>
    </row>
    <row r="28" spans="1:3" x14ac:dyDescent="0.25">
      <c r="A28" s="12" t="s">
        <v>23</v>
      </c>
      <c r="B28" s="7">
        <v>2700</v>
      </c>
      <c r="C28" s="60" t="s">
        <v>155</v>
      </c>
    </row>
    <row r="29" spans="1:3" ht="15.75" thickBot="1" x14ac:dyDescent="0.3">
      <c r="A29" s="8" t="s">
        <v>167</v>
      </c>
      <c r="B29" s="7">
        <v>26170</v>
      </c>
      <c r="C29" s="60" t="s">
        <v>155</v>
      </c>
    </row>
    <row r="30" spans="1:3" ht="15.75" thickBot="1" x14ac:dyDescent="0.3">
      <c r="A30" s="41" t="s">
        <v>24</v>
      </c>
      <c r="B30" s="45">
        <v>40035</v>
      </c>
      <c r="C30" s="60"/>
    </row>
    <row r="31" spans="1:3" x14ac:dyDescent="0.25">
      <c r="A31" s="10" t="s">
        <v>25</v>
      </c>
      <c r="B31" s="88">
        <v>39725</v>
      </c>
      <c r="C31" s="60" t="s">
        <v>155</v>
      </c>
    </row>
    <row r="32" spans="1:3" x14ac:dyDescent="0.25">
      <c r="A32" s="53" t="s">
        <v>178</v>
      </c>
      <c r="B32" s="9">
        <v>310</v>
      </c>
      <c r="C32" s="70" t="s">
        <v>8</v>
      </c>
    </row>
    <row r="33" spans="1:3" ht="15.75" thickBot="1" x14ac:dyDescent="0.3">
      <c r="A33" s="48" t="s">
        <v>26</v>
      </c>
      <c r="B33" s="86">
        <v>113782</v>
      </c>
      <c r="C33" s="70"/>
    </row>
    <row r="34" spans="1:3" x14ac:dyDescent="0.25">
      <c r="A34" s="71" t="s">
        <v>27</v>
      </c>
      <c r="B34" s="9">
        <v>2350</v>
      </c>
      <c r="C34" s="60" t="s">
        <v>155</v>
      </c>
    </row>
    <row r="35" spans="1:3" x14ac:dyDescent="0.25">
      <c r="A35" s="53" t="s">
        <v>28</v>
      </c>
      <c r="B35" s="9">
        <v>30792</v>
      </c>
      <c r="C35" s="60" t="s">
        <v>155</v>
      </c>
    </row>
    <row r="36" spans="1:3" x14ac:dyDescent="0.25">
      <c r="A36" s="53" t="s">
        <v>29</v>
      </c>
      <c r="B36" s="9">
        <v>13400</v>
      </c>
      <c r="C36" s="60" t="s">
        <v>155</v>
      </c>
    </row>
    <row r="37" spans="1:3" x14ac:dyDescent="0.25">
      <c r="A37" s="53" t="s">
        <v>30</v>
      </c>
      <c r="B37" s="9">
        <v>100</v>
      </c>
      <c r="C37" s="69" t="s">
        <v>7</v>
      </c>
    </row>
    <row r="38" spans="1:3" x14ac:dyDescent="0.25">
      <c r="A38" s="53" t="s">
        <v>31</v>
      </c>
      <c r="B38" s="9">
        <v>25200</v>
      </c>
      <c r="C38" s="69" t="s">
        <v>155</v>
      </c>
    </row>
    <row r="39" spans="1:3" x14ac:dyDescent="0.25">
      <c r="A39" s="53" t="s">
        <v>32</v>
      </c>
      <c r="B39" s="9">
        <v>7480</v>
      </c>
      <c r="C39" s="60" t="s">
        <v>7</v>
      </c>
    </row>
    <row r="40" spans="1:3" x14ac:dyDescent="0.25">
      <c r="A40" s="53" t="s">
        <v>33</v>
      </c>
      <c r="B40" s="9">
        <v>550</v>
      </c>
      <c r="C40" s="60" t="s">
        <v>7</v>
      </c>
    </row>
    <row r="41" spans="1:3" x14ac:dyDescent="0.25">
      <c r="A41" s="53" t="s">
        <v>34</v>
      </c>
      <c r="B41" s="9">
        <v>400</v>
      </c>
      <c r="C41" s="60" t="s">
        <v>7</v>
      </c>
    </row>
    <row r="42" spans="1:3" x14ac:dyDescent="0.25">
      <c r="A42" s="53" t="s">
        <v>35</v>
      </c>
      <c r="B42" s="9">
        <v>7025</v>
      </c>
      <c r="C42" s="60" t="s">
        <v>7</v>
      </c>
    </row>
    <row r="43" spans="1:3" x14ac:dyDescent="0.25">
      <c r="A43" s="53" t="s">
        <v>36</v>
      </c>
      <c r="B43" s="9">
        <v>8625</v>
      </c>
      <c r="C43" s="60" t="s">
        <v>155</v>
      </c>
    </row>
    <row r="44" spans="1:3" x14ac:dyDescent="0.25">
      <c r="A44" s="53" t="s">
        <v>37</v>
      </c>
      <c r="B44" s="9">
        <v>5320</v>
      </c>
      <c r="C44" s="60" t="s">
        <v>7</v>
      </c>
    </row>
    <row r="45" spans="1:3" x14ac:dyDescent="0.25">
      <c r="A45" s="53" t="s">
        <v>38</v>
      </c>
      <c r="B45" s="9">
        <v>2700</v>
      </c>
      <c r="C45" s="60" t="s">
        <v>7</v>
      </c>
    </row>
    <row r="46" spans="1:3" x14ac:dyDescent="0.25">
      <c r="A46" s="53" t="s">
        <v>39</v>
      </c>
      <c r="B46" s="9">
        <v>1400</v>
      </c>
      <c r="C46" s="60" t="s">
        <v>7</v>
      </c>
    </row>
    <row r="47" spans="1:3" x14ac:dyDescent="0.25">
      <c r="A47" s="53" t="s">
        <v>40</v>
      </c>
      <c r="B47" s="9">
        <v>0</v>
      </c>
      <c r="C47" s="60"/>
    </row>
    <row r="48" spans="1:3" x14ac:dyDescent="0.25">
      <c r="A48" s="53" t="s">
        <v>41</v>
      </c>
      <c r="B48" s="9">
        <v>650</v>
      </c>
      <c r="C48" s="60" t="s">
        <v>155</v>
      </c>
    </row>
    <row r="49" spans="1:3" x14ac:dyDescent="0.25">
      <c r="A49" s="53" t="s">
        <v>42</v>
      </c>
      <c r="B49" s="9">
        <v>500</v>
      </c>
      <c r="C49" s="60" t="s">
        <v>7</v>
      </c>
    </row>
    <row r="50" spans="1:3" x14ac:dyDescent="0.25">
      <c r="A50" s="53" t="s">
        <v>43</v>
      </c>
      <c r="B50" s="9">
        <v>600</v>
      </c>
      <c r="C50" s="60" t="s">
        <v>7</v>
      </c>
    </row>
    <row r="51" spans="1:3" x14ac:dyDescent="0.25">
      <c r="A51" s="53" t="s">
        <v>44</v>
      </c>
      <c r="B51" s="9">
        <v>3800</v>
      </c>
      <c r="C51" s="60" t="s">
        <v>7</v>
      </c>
    </row>
    <row r="52" spans="1:3" x14ac:dyDescent="0.25">
      <c r="A52" s="53" t="s">
        <v>45</v>
      </c>
      <c r="B52" s="9">
        <v>1550</v>
      </c>
      <c r="C52" s="60" t="s">
        <v>7</v>
      </c>
    </row>
    <row r="53" spans="1:3" x14ac:dyDescent="0.25">
      <c r="A53" s="53" t="s">
        <v>46</v>
      </c>
      <c r="B53" s="9">
        <v>280</v>
      </c>
      <c r="C53" s="60" t="s">
        <v>8</v>
      </c>
    </row>
    <row r="54" spans="1:3" x14ac:dyDescent="0.25">
      <c r="A54" s="53" t="s">
        <v>153</v>
      </c>
      <c r="B54" s="9">
        <v>360</v>
      </c>
      <c r="C54" s="60" t="s">
        <v>8</v>
      </c>
    </row>
    <row r="55" spans="1:3" x14ac:dyDescent="0.25">
      <c r="A55" s="53" t="s">
        <v>47</v>
      </c>
      <c r="B55" s="9">
        <v>0</v>
      </c>
      <c r="C55" s="60"/>
    </row>
    <row r="56" spans="1:3" x14ac:dyDescent="0.25">
      <c r="A56" s="54" t="s">
        <v>48</v>
      </c>
      <c r="B56" s="9">
        <v>230</v>
      </c>
      <c r="C56" s="60" t="s">
        <v>8</v>
      </c>
    </row>
    <row r="57" spans="1:3" ht="15.75" thickBot="1" x14ac:dyDescent="0.3">
      <c r="A57" s="17" t="s">
        <v>49</v>
      </c>
      <c r="B57" s="9">
        <v>470</v>
      </c>
      <c r="C57" s="60" t="s">
        <v>8</v>
      </c>
    </row>
    <row r="58" spans="1:3" ht="15.75" thickBot="1" x14ac:dyDescent="0.3">
      <c r="A58" s="46" t="s">
        <v>50</v>
      </c>
      <c r="B58" s="44">
        <v>1476</v>
      </c>
      <c r="C58" s="70"/>
    </row>
    <row r="59" spans="1:3" x14ac:dyDescent="0.25">
      <c r="A59" s="4" t="s">
        <v>51</v>
      </c>
      <c r="B59" s="7">
        <v>0</v>
      </c>
      <c r="C59" s="60"/>
    </row>
    <row r="60" spans="1:3" x14ac:dyDescent="0.25">
      <c r="A60" s="8" t="s">
        <v>52</v>
      </c>
      <c r="B60" s="7">
        <v>100</v>
      </c>
      <c r="C60" s="60" t="s">
        <v>8</v>
      </c>
    </row>
    <row r="61" spans="1:3" x14ac:dyDescent="0.25">
      <c r="A61" s="8" t="s">
        <v>53</v>
      </c>
      <c r="B61" s="7">
        <v>800</v>
      </c>
      <c r="C61" s="60" t="s">
        <v>8</v>
      </c>
    </row>
    <row r="62" spans="1:3" x14ac:dyDescent="0.25">
      <c r="A62" s="8" t="s">
        <v>54</v>
      </c>
      <c r="B62" s="7">
        <v>50</v>
      </c>
      <c r="C62" s="60" t="s">
        <v>8</v>
      </c>
    </row>
    <row r="63" spans="1:3" x14ac:dyDescent="0.25">
      <c r="A63" s="8" t="s">
        <v>55</v>
      </c>
      <c r="B63" s="7">
        <v>50</v>
      </c>
      <c r="C63" s="60" t="s">
        <v>8</v>
      </c>
    </row>
    <row r="64" spans="1:3" x14ac:dyDescent="0.25">
      <c r="A64" s="8" t="s">
        <v>56</v>
      </c>
      <c r="B64" s="7">
        <v>100</v>
      </c>
      <c r="C64" s="60" t="s">
        <v>8</v>
      </c>
    </row>
    <row r="65" spans="1:3" x14ac:dyDescent="0.25">
      <c r="A65" s="8" t="s">
        <v>57</v>
      </c>
      <c r="B65" s="7">
        <v>100</v>
      </c>
      <c r="C65" s="60" t="s">
        <v>8</v>
      </c>
    </row>
    <row r="66" spans="1:3" x14ac:dyDescent="0.25">
      <c r="A66" s="8" t="s">
        <v>58</v>
      </c>
      <c r="B66" s="7">
        <v>0</v>
      </c>
      <c r="C66" s="60" t="s">
        <v>8</v>
      </c>
    </row>
    <row r="67" spans="1:3" ht="15.75" thickBot="1" x14ac:dyDescent="0.3">
      <c r="A67" s="12" t="s">
        <v>59</v>
      </c>
      <c r="B67" s="7">
        <v>276</v>
      </c>
      <c r="C67" s="60" t="s">
        <v>8</v>
      </c>
    </row>
    <row r="68" spans="1:3" ht="15.75" thickBot="1" x14ac:dyDescent="0.3">
      <c r="A68" s="41" t="s">
        <v>60</v>
      </c>
      <c r="B68" s="44">
        <v>34056</v>
      </c>
      <c r="C68" s="60"/>
    </row>
    <row r="69" spans="1:3" x14ac:dyDescent="0.25">
      <c r="A69" s="14" t="s">
        <v>165</v>
      </c>
      <c r="B69" s="2">
        <v>0</v>
      </c>
      <c r="C69" s="60" t="s">
        <v>8</v>
      </c>
    </row>
    <row r="70" spans="1:3" x14ac:dyDescent="0.25">
      <c r="A70" s="14" t="s">
        <v>61</v>
      </c>
      <c r="B70" s="2">
        <v>185</v>
      </c>
      <c r="C70" s="60" t="s">
        <v>8</v>
      </c>
    </row>
    <row r="71" spans="1:3" x14ac:dyDescent="0.25">
      <c r="A71" s="8" t="s">
        <v>62</v>
      </c>
      <c r="B71" s="2">
        <v>480</v>
      </c>
      <c r="C71" s="60" t="s">
        <v>8</v>
      </c>
    </row>
    <row r="72" spans="1:3" x14ac:dyDescent="0.25">
      <c r="A72" s="8" t="s">
        <v>63</v>
      </c>
      <c r="B72" s="2">
        <v>3650</v>
      </c>
      <c r="C72" s="60" t="s">
        <v>7</v>
      </c>
    </row>
    <row r="73" spans="1:3" x14ac:dyDescent="0.25">
      <c r="A73" s="8" t="s">
        <v>64</v>
      </c>
      <c r="B73" s="2">
        <v>5000</v>
      </c>
      <c r="C73" s="60" t="s">
        <v>7</v>
      </c>
    </row>
    <row r="74" spans="1:3" x14ac:dyDescent="0.25">
      <c r="A74" s="8" t="s">
        <v>65</v>
      </c>
      <c r="B74" s="2">
        <v>450</v>
      </c>
      <c r="C74" s="60" t="s">
        <v>8</v>
      </c>
    </row>
    <row r="75" spans="1:3" x14ac:dyDescent="0.25">
      <c r="A75" s="8" t="s">
        <v>66</v>
      </c>
      <c r="B75" s="2">
        <v>6250</v>
      </c>
      <c r="C75" s="60" t="s">
        <v>8</v>
      </c>
    </row>
    <row r="76" spans="1:3" x14ac:dyDescent="0.25">
      <c r="A76" s="8" t="s">
        <v>67</v>
      </c>
      <c r="B76" s="2">
        <v>300</v>
      </c>
      <c r="C76" s="60" t="s">
        <v>8</v>
      </c>
    </row>
    <row r="77" spans="1:3" x14ac:dyDescent="0.25">
      <c r="A77" s="8" t="s">
        <v>68</v>
      </c>
      <c r="B77" s="2">
        <v>0</v>
      </c>
      <c r="C77" s="60" t="s">
        <v>8</v>
      </c>
    </row>
    <row r="78" spans="1:3" x14ac:dyDescent="0.25">
      <c r="A78" s="8" t="s">
        <v>69</v>
      </c>
      <c r="B78" s="2">
        <v>70</v>
      </c>
      <c r="C78" s="60" t="s">
        <v>8</v>
      </c>
    </row>
    <row r="79" spans="1:3" x14ac:dyDescent="0.25">
      <c r="A79" s="8" t="s">
        <v>70</v>
      </c>
      <c r="B79" s="2">
        <v>1200</v>
      </c>
      <c r="C79" s="60" t="s">
        <v>8</v>
      </c>
    </row>
    <row r="80" spans="1:3" x14ac:dyDescent="0.25">
      <c r="A80" s="8" t="s">
        <v>71</v>
      </c>
      <c r="B80" s="2">
        <v>150</v>
      </c>
      <c r="C80" s="60" t="s">
        <v>8</v>
      </c>
    </row>
    <row r="81" spans="1:3" x14ac:dyDescent="0.25">
      <c r="A81" s="8" t="s">
        <v>72</v>
      </c>
      <c r="B81" s="2">
        <v>120</v>
      </c>
      <c r="C81" s="60" t="s">
        <v>7</v>
      </c>
    </row>
    <row r="82" spans="1:3" x14ac:dyDescent="0.25">
      <c r="A82" s="8" t="s">
        <v>73</v>
      </c>
      <c r="B82" s="2">
        <v>1025</v>
      </c>
      <c r="C82" s="60" t="s">
        <v>223</v>
      </c>
    </row>
    <row r="83" spans="1:3" x14ac:dyDescent="0.25">
      <c r="A83" s="8" t="s">
        <v>74</v>
      </c>
      <c r="B83" s="2">
        <v>400</v>
      </c>
      <c r="C83" s="60" t="s">
        <v>8</v>
      </c>
    </row>
    <row r="84" spans="1:3" x14ac:dyDescent="0.25">
      <c r="A84" s="8" t="s">
        <v>75</v>
      </c>
      <c r="B84" s="2">
        <v>50</v>
      </c>
      <c r="C84" s="60" t="s">
        <v>8</v>
      </c>
    </row>
    <row r="85" spans="1:3" x14ac:dyDescent="0.25">
      <c r="A85" s="8" t="s">
        <v>76</v>
      </c>
      <c r="B85" s="2">
        <v>1100</v>
      </c>
      <c r="C85" s="60" t="s">
        <v>8</v>
      </c>
    </row>
    <row r="86" spans="1:3" x14ac:dyDescent="0.25">
      <c r="A86" s="15" t="s">
        <v>77</v>
      </c>
      <c r="B86" s="2">
        <v>50</v>
      </c>
      <c r="C86" s="60" t="s">
        <v>8</v>
      </c>
    </row>
    <row r="87" spans="1:3" x14ac:dyDescent="0.25">
      <c r="A87" s="6" t="s">
        <v>78</v>
      </c>
      <c r="B87" s="2">
        <v>1500</v>
      </c>
      <c r="C87" s="60" t="s">
        <v>8</v>
      </c>
    </row>
    <row r="88" spans="1:3" x14ac:dyDescent="0.25">
      <c r="A88" s="8" t="s">
        <v>79</v>
      </c>
      <c r="B88" s="2">
        <v>600</v>
      </c>
      <c r="C88" s="60" t="s">
        <v>8</v>
      </c>
    </row>
    <row r="89" spans="1:3" x14ac:dyDescent="0.25">
      <c r="A89" s="8" t="s">
        <v>80</v>
      </c>
      <c r="B89" s="2">
        <v>6247</v>
      </c>
      <c r="C89" s="60" t="s">
        <v>7</v>
      </c>
    </row>
    <row r="90" spans="1:3" x14ac:dyDescent="0.25">
      <c r="A90" s="8" t="s">
        <v>81</v>
      </c>
      <c r="B90" s="2">
        <v>619</v>
      </c>
      <c r="C90" s="60" t="s">
        <v>8</v>
      </c>
    </row>
    <row r="91" spans="1:3" x14ac:dyDescent="0.25">
      <c r="A91" s="8" t="s">
        <v>82</v>
      </c>
      <c r="B91" s="2">
        <v>150</v>
      </c>
      <c r="C91" s="60" t="s">
        <v>8</v>
      </c>
    </row>
    <row r="92" spans="1:3" ht="15.75" thickBot="1" x14ac:dyDescent="0.3">
      <c r="A92" s="12" t="s">
        <v>83</v>
      </c>
      <c r="B92" s="2">
        <v>4460</v>
      </c>
      <c r="C92" s="60" t="s">
        <v>159</v>
      </c>
    </row>
    <row r="93" spans="1:3" ht="15.75" thickBot="1" x14ac:dyDescent="0.3">
      <c r="A93" s="41" t="s">
        <v>84</v>
      </c>
      <c r="B93" s="45">
        <v>13495</v>
      </c>
      <c r="C93" s="60"/>
    </row>
    <row r="94" spans="1:3" x14ac:dyDescent="0.25">
      <c r="A94" s="6" t="s">
        <v>85</v>
      </c>
      <c r="B94" s="78">
        <v>75</v>
      </c>
      <c r="C94" s="60" t="s">
        <v>155</v>
      </c>
    </row>
    <row r="95" spans="1:3" x14ac:dyDescent="0.25">
      <c r="A95" s="8" t="s">
        <v>86</v>
      </c>
      <c r="B95" s="9">
        <v>500</v>
      </c>
      <c r="C95" s="60" t="s">
        <v>7</v>
      </c>
    </row>
    <row r="96" spans="1:3" x14ac:dyDescent="0.25">
      <c r="A96" s="8" t="s">
        <v>157</v>
      </c>
      <c r="B96" s="9">
        <v>3300</v>
      </c>
      <c r="C96" s="60" t="s">
        <v>8</v>
      </c>
    </row>
    <row r="97" spans="1:3" x14ac:dyDescent="0.25">
      <c r="A97" s="8" t="s">
        <v>87</v>
      </c>
      <c r="B97" s="9">
        <v>4000</v>
      </c>
      <c r="C97" s="60" t="s">
        <v>155</v>
      </c>
    </row>
    <row r="98" spans="1:3" x14ac:dyDescent="0.25">
      <c r="A98" s="8" t="s">
        <v>88</v>
      </c>
      <c r="B98" s="9">
        <v>50</v>
      </c>
      <c r="C98" s="60" t="s">
        <v>8</v>
      </c>
    </row>
    <row r="99" spans="1:3" ht="15.75" thickBot="1" x14ac:dyDescent="0.3">
      <c r="A99" s="12" t="s">
        <v>89</v>
      </c>
      <c r="B99" s="2">
        <v>5570</v>
      </c>
      <c r="C99" s="60" t="s">
        <v>208</v>
      </c>
    </row>
    <row r="100" spans="1:3" ht="15.75" thickBot="1" x14ac:dyDescent="0.3">
      <c r="A100" s="41" t="s">
        <v>90</v>
      </c>
      <c r="B100" s="45">
        <v>32240</v>
      </c>
      <c r="C100" s="60"/>
    </row>
    <row r="101" spans="1:3" x14ac:dyDescent="0.25">
      <c r="A101" s="6" t="s">
        <v>91</v>
      </c>
      <c r="B101" s="9">
        <v>1000</v>
      </c>
      <c r="C101" s="60" t="s">
        <v>7</v>
      </c>
    </row>
    <row r="102" spans="1:3" x14ac:dyDescent="0.25">
      <c r="A102" s="8" t="s">
        <v>92</v>
      </c>
      <c r="B102" s="9">
        <v>200</v>
      </c>
      <c r="C102" s="60" t="s">
        <v>7</v>
      </c>
    </row>
    <row r="103" spans="1:3" x14ac:dyDescent="0.25">
      <c r="A103" s="8" t="s">
        <v>149</v>
      </c>
      <c r="B103" s="9">
        <v>1290</v>
      </c>
      <c r="C103" s="60" t="s">
        <v>7</v>
      </c>
    </row>
    <row r="104" spans="1:3" x14ac:dyDescent="0.25">
      <c r="A104" s="8" t="s">
        <v>93</v>
      </c>
      <c r="B104" s="9">
        <v>400</v>
      </c>
      <c r="C104" s="60" t="s">
        <v>7</v>
      </c>
    </row>
    <row r="105" spans="1:3" x14ac:dyDescent="0.25">
      <c r="A105" s="8" t="s">
        <v>94</v>
      </c>
      <c r="B105" s="9">
        <v>1520</v>
      </c>
      <c r="C105" s="60" t="s">
        <v>7</v>
      </c>
    </row>
    <row r="106" spans="1:3" x14ac:dyDescent="0.25">
      <c r="A106" s="8" t="s">
        <v>95</v>
      </c>
      <c r="B106" s="9">
        <v>400</v>
      </c>
      <c r="C106" s="60" t="s">
        <v>7</v>
      </c>
    </row>
    <row r="107" spans="1:3" x14ac:dyDescent="0.25">
      <c r="A107" s="8" t="s">
        <v>96</v>
      </c>
      <c r="B107" s="9">
        <v>1860</v>
      </c>
      <c r="C107" s="60" t="s">
        <v>7</v>
      </c>
    </row>
    <row r="108" spans="1:3" x14ac:dyDescent="0.25">
      <c r="A108" s="8" t="s">
        <v>160</v>
      </c>
      <c r="B108" s="9">
        <v>0</v>
      </c>
      <c r="C108" s="60"/>
    </row>
    <row r="109" spans="1:3" x14ac:dyDescent="0.25">
      <c r="A109" s="8" t="s">
        <v>97</v>
      </c>
      <c r="B109" s="9">
        <v>2300</v>
      </c>
      <c r="C109" s="60" t="s">
        <v>7</v>
      </c>
    </row>
    <row r="110" spans="1:3" x14ac:dyDescent="0.25">
      <c r="A110" s="8" t="s">
        <v>98</v>
      </c>
      <c r="B110" s="9">
        <v>1200</v>
      </c>
      <c r="C110" s="60" t="s">
        <v>7</v>
      </c>
    </row>
    <row r="111" spans="1:3" x14ac:dyDescent="0.25">
      <c r="A111" s="8" t="s">
        <v>99</v>
      </c>
      <c r="B111" s="9">
        <v>8300</v>
      </c>
      <c r="C111" s="60" t="s">
        <v>7</v>
      </c>
    </row>
    <row r="112" spans="1:3" x14ac:dyDescent="0.25">
      <c r="A112" s="8" t="s">
        <v>100</v>
      </c>
      <c r="B112" s="9">
        <v>100</v>
      </c>
      <c r="C112" s="60" t="s">
        <v>8</v>
      </c>
    </row>
    <row r="113" spans="1:3" x14ac:dyDescent="0.25">
      <c r="A113" s="8" t="s">
        <v>161</v>
      </c>
      <c r="B113" s="9">
        <v>0</v>
      </c>
      <c r="C113" s="60"/>
    </row>
    <row r="114" spans="1:3" x14ac:dyDescent="0.25">
      <c r="A114" s="8" t="s">
        <v>101</v>
      </c>
      <c r="B114" s="9">
        <v>1400</v>
      </c>
      <c r="C114" s="60" t="s">
        <v>7</v>
      </c>
    </row>
    <row r="115" spans="1:3" x14ac:dyDescent="0.25">
      <c r="A115" s="8" t="s">
        <v>102</v>
      </c>
      <c r="B115" s="9">
        <v>1000</v>
      </c>
      <c r="C115" s="60" t="s">
        <v>7</v>
      </c>
    </row>
    <row r="116" spans="1:3" x14ac:dyDescent="0.25">
      <c r="A116" s="8" t="s">
        <v>103</v>
      </c>
      <c r="B116" s="9">
        <v>0</v>
      </c>
      <c r="C116" s="60" t="s">
        <v>7</v>
      </c>
    </row>
    <row r="117" spans="1:3" x14ac:dyDescent="0.25">
      <c r="A117" s="8" t="s">
        <v>104</v>
      </c>
      <c r="B117" s="9">
        <v>1100</v>
      </c>
      <c r="C117" s="60" t="s">
        <v>7</v>
      </c>
    </row>
    <row r="118" spans="1:3" x14ac:dyDescent="0.25">
      <c r="A118" s="8" t="s">
        <v>105</v>
      </c>
      <c r="B118" s="9">
        <v>70</v>
      </c>
      <c r="C118" s="60" t="s">
        <v>7</v>
      </c>
    </row>
    <row r="119" spans="1:3" x14ac:dyDescent="0.25">
      <c r="A119" s="8" t="s">
        <v>106</v>
      </c>
      <c r="B119" s="9">
        <v>1200</v>
      </c>
      <c r="C119" s="60" t="s">
        <v>7</v>
      </c>
    </row>
    <row r="120" spans="1:3" x14ac:dyDescent="0.25">
      <c r="A120" s="8" t="s">
        <v>107</v>
      </c>
      <c r="B120" s="9">
        <v>3900</v>
      </c>
      <c r="C120" s="60" t="s">
        <v>203</v>
      </c>
    </row>
    <row r="121" spans="1:3" x14ac:dyDescent="0.25">
      <c r="A121" s="23" t="s">
        <v>108</v>
      </c>
      <c r="B121" s="9">
        <v>1800</v>
      </c>
      <c r="C121" s="60" t="s">
        <v>7</v>
      </c>
    </row>
    <row r="122" spans="1:3" x14ac:dyDescent="0.25">
      <c r="A122" s="8" t="s">
        <v>109</v>
      </c>
      <c r="B122" s="9">
        <v>600</v>
      </c>
      <c r="C122" s="60" t="s">
        <v>7</v>
      </c>
    </row>
    <row r="123" spans="1:3" x14ac:dyDescent="0.25">
      <c r="A123" s="8" t="s">
        <v>110</v>
      </c>
      <c r="B123" s="9">
        <v>1400</v>
      </c>
      <c r="C123" s="60" t="s">
        <v>8</v>
      </c>
    </row>
    <row r="124" spans="1:3" ht="15.75" thickBot="1" x14ac:dyDescent="0.3">
      <c r="A124" s="12" t="s">
        <v>111</v>
      </c>
      <c r="B124" s="9">
        <v>1200</v>
      </c>
      <c r="C124" s="60" t="s">
        <v>7</v>
      </c>
    </row>
    <row r="125" spans="1:3" ht="15.75" thickBot="1" x14ac:dyDescent="0.3">
      <c r="A125" s="41" t="s">
        <v>112</v>
      </c>
      <c r="B125" s="45">
        <v>223222</v>
      </c>
      <c r="C125" s="60"/>
    </row>
    <row r="126" spans="1:3" x14ac:dyDescent="0.25">
      <c r="A126" s="6" t="s">
        <v>113</v>
      </c>
      <c r="B126" s="9">
        <v>8650</v>
      </c>
      <c r="C126" s="60" t="s">
        <v>155</v>
      </c>
    </row>
    <row r="127" spans="1:3" x14ac:dyDescent="0.25">
      <c r="A127" s="8" t="s">
        <v>114</v>
      </c>
      <c r="B127" s="9">
        <v>100</v>
      </c>
      <c r="C127" s="60" t="s">
        <v>7</v>
      </c>
    </row>
    <row r="128" spans="1:3" x14ac:dyDescent="0.25">
      <c r="A128" s="8" t="s">
        <v>162</v>
      </c>
      <c r="B128" s="9">
        <v>1200</v>
      </c>
      <c r="C128" s="60" t="s">
        <v>7</v>
      </c>
    </row>
    <row r="129" spans="1:3" x14ac:dyDescent="0.25">
      <c r="A129" s="8" t="s">
        <v>115</v>
      </c>
      <c r="B129" s="9">
        <v>700</v>
      </c>
      <c r="C129" s="60" t="s">
        <v>7</v>
      </c>
    </row>
    <row r="130" spans="1:3" x14ac:dyDescent="0.25">
      <c r="A130" s="8" t="s">
        <v>116</v>
      </c>
      <c r="B130" s="9">
        <v>20</v>
      </c>
      <c r="C130" s="60" t="s">
        <v>8</v>
      </c>
    </row>
    <row r="131" spans="1:3" x14ac:dyDescent="0.25">
      <c r="A131" s="8" t="s">
        <v>117</v>
      </c>
      <c r="B131" s="9">
        <v>200</v>
      </c>
      <c r="C131" s="60" t="s">
        <v>8</v>
      </c>
    </row>
    <row r="132" spans="1:3" x14ac:dyDescent="0.25">
      <c r="A132" s="8" t="s">
        <v>118</v>
      </c>
      <c r="B132" s="9">
        <v>600</v>
      </c>
      <c r="C132" s="60" t="s">
        <v>8</v>
      </c>
    </row>
    <row r="133" spans="1:3" x14ac:dyDescent="0.25">
      <c r="A133" s="8" t="s">
        <v>119</v>
      </c>
      <c r="B133" s="9">
        <v>13760</v>
      </c>
      <c r="C133" s="60" t="s">
        <v>7</v>
      </c>
    </row>
    <row r="134" spans="1:3" x14ac:dyDescent="0.25">
      <c r="A134" s="8" t="s">
        <v>163</v>
      </c>
      <c r="B134" s="9">
        <v>850</v>
      </c>
      <c r="C134" s="60" t="s">
        <v>7</v>
      </c>
    </row>
    <row r="135" spans="1:3" x14ac:dyDescent="0.25">
      <c r="A135" s="8" t="s">
        <v>120</v>
      </c>
      <c r="B135" s="9">
        <v>1200</v>
      </c>
      <c r="C135" s="60" t="s">
        <v>7</v>
      </c>
    </row>
    <row r="136" spans="1:3" x14ac:dyDescent="0.25">
      <c r="A136" s="23" t="s">
        <v>121</v>
      </c>
      <c r="B136" s="9">
        <v>38114</v>
      </c>
      <c r="C136" s="60" t="s">
        <v>155</v>
      </c>
    </row>
    <row r="137" spans="1:3" x14ac:dyDescent="0.25">
      <c r="A137" s="8" t="s">
        <v>122</v>
      </c>
      <c r="B137" s="9">
        <v>62140</v>
      </c>
      <c r="C137" s="60" t="s">
        <v>155</v>
      </c>
    </row>
    <row r="138" spans="1:3" x14ac:dyDescent="0.25">
      <c r="A138" s="8" t="s">
        <v>158</v>
      </c>
      <c r="B138" s="9">
        <v>76693</v>
      </c>
      <c r="C138" s="60" t="s">
        <v>7</v>
      </c>
    </row>
    <row r="139" spans="1:3" x14ac:dyDescent="0.25">
      <c r="A139" s="8" t="s">
        <v>123</v>
      </c>
      <c r="B139" s="9">
        <v>1814</v>
      </c>
      <c r="C139" s="60" t="s">
        <v>155</v>
      </c>
    </row>
    <row r="140" spans="1:3" x14ac:dyDescent="0.25">
      <c r="A140" s="8" t="s">
        <v>124</v>
      </c>
      <c r="B140" s="9">
        <v>3600</v>
      </c>
      <c r="C140" s="60" t="s">
        <v>7</v>
      </c>
    </row>
    <row r="141" spans="1:3" x14ac:dyDescent="0.25">
      <c r="A141" s="8" t="s">
        <v>125</v>
      </c>
      <c r="B141" s="9">
        <v>1200</v>
      </c>
      <c r="C141" s="60" t="s">
        <v>7</v>
      </c>
    </row>
    <row r="142" spans="1:3" x14ac:dyDescent="0.25">
      <c r="A142" s="8" t="s">
        <v>164</v>
      </c>
      <c r="B142" s="9">
        <v>28</v>
      </c>
      <c r="C142" s="60" t="s">
        <v>7</v>
      </c>
    </row>
    <row r="143" spans="1:3" x14ac:dyDescent="0.25">
      <c r="A143" s="8" t="s">
        <v>126</v>
      </c>
      <c r="B143" s="9">
        <v>1490</v>
      </c>
      <c r="C143" s="60" t="s">
        <v>155</v>
      </c>
    </row>
    <row r="144" spans="1:3" x14ac:dyDescent="0.25">
      <c r="A144" s="8" t="s">
        <v>127</v>
      </c>
      <c r="B144" s="9">
        <v>1600</v>
      </c>
      <c r="C144" s="60" t="s">
        <v>7</v>
      </c>
    </row>
    <row r="145" spans="1:3" x14ac:dyDescent="0.25">
      <c r="A145" s="8" t="s">
        <v>128</v>
      </c>
      <c r="B145" s="9">
        <v>8300</v>
      </c>
      <c r="C145" s="60" t="s">
        <v>155</v>
      </c>
    </row>
    <row r="146" spans="1:3" ht="15.75" thickBot="1" x14ac:dyDescent="0.3">
      <c r="A146" s="17" t="s">
        <v>129</v>
      </c>
      <c r="B146" s="9">
        <v>963</v>
      </c>
      <c r="C146" s="60" t="s">
        <v>159</v>
      </c>
    </row>
    <row r="147" spans="1:3" ht="15.75" thickBot="1" x14ac:dyDescent="0.3">
      <c r="A147" s="47" t="s">
        <v>152</v>
      </c>
      <c r="B147" s="72">
        <v>1985</v>
      </c>
      <c r="C147" s="60" t="s">
        <v>8</v>
      </c>
    </row>
    <row r="148" spans="1:3" ht="15.75" thickBot="1" x14ac:dyDescent="0.3">
      <c r="A148" s="48" t="s">
        <v>130</v>
      </c>
      <c r="B148" s="72">
        <v>3700</v>
      </c>
      <c r="C148" s="60" t="s">
        <v>8</v>
      </c>
    </row>
    <row r="149" spans="1:3" ht="15.75" thickBot="1" x14ac:dyDescent="0.3">
      <c r="A149" s="47" t="s">
        <v>151</v>
      </c>
      <c r="B149" s="72">
        <v>2975</v>
      </c>
      <c r="C149" s="60" t="s">
        <v>155</v>
      </c>
    </row>
    <row r="150" spans="1:3" x14ac:dyDescent="0.25">
      <c r="A150" s="6" t="s">
        <v>131</v>
      </c>
      <c r="B150" s="9">
        <v>1800</v>
      </c>
      <c r="C150" s="60" t="s">
        <v>7</v>
      </c>
    </row>
    <row r="151" spans="1:3" x14ac:dyDescent="0.25">
      <c r="A151" s="8" t="s">
        <v>132</v>
      </c>
      <c r="B151" s="9">
        <v>475</v>
      </c>
      <c r="C151" s="60" t="s">
        <v>7</v>
      </c>
    </row>
    <row r="152" spans="1:3" x14ac:dyDescent="0.25">
      <c r="A152" s="12" t="s">
        <v>133</v>
      </c>
      <c r="B152" s="9">
        <v>600</v>
      </c>
      <c r="C152" s="60" t="s">
        <v>155</v>
      </c>
    </row>
    <row r="153" spans="1:3" ht="15.75" thickBot="1" x14ac:dyDescent="0.3">
      <c r="A153" s="18" t="s">
        <v>134</v>
      </c>
      <c r="B153" s="9">
        <v>100</v>
      </c>
      <c r="C153" s="60" t="s">
        <v>8</v>
      </c>
    </row>
    <row r="154" spans="1:3" ht="15.75" thickBot="1" x14ac:dyDescent="0.3">
      <c r="A154" s="50" t="s">
        <v>150</v>
      </c>
      <c r="B154" s="44">
        <v>1000</v>
      </c>
      <c r="C154" s="60" t="s">
        <v>159</v>
      </c>
    </row>
    <row r="155" spans="1:3" ht="15.75" thickBot="1" x14ac:dyDescent="0.3">
      <c r="A155" s="41" t="s">
        <v>135</v>
      </c>
      <c r="B155" s="44">
        <v>800</v>
      </c>
      <c r="C155" s="60" t="s">
        <v>8</v>
      </c>
    </row>
    <row r="156" spans="1:3" ht="16.5" thickBot="1" x14ac:dyDescent="0.3">
      <c r="A156" s="29" t="s">
        <v>136</v>
      </c>
      <c r="B156" s="30">
        <v>2861155</v>
      </c>
      <c r="C156" s="60"/>
    </row>
    <row r="157" spans="1:3" x14ac:dyDescent="0.25">
      <c r="A157" s="19" t="s">
        <v>166</v>
      </c>
      <c r="B157" s="2">
        <v>0</v>
      </c>
      <c r="C157" s="60"/>
    </row>
    <row r="158" spans="1:3" x14ac:dyDescent="0.25">
      <c r="A158" s="19" t="s">
        <v>137</v>
      </c>
      <c r="B158" s="2">
        <v>2797</v>
      </c>
      <c r="C158" s="60" t="s">
        <v>174</v>
      </c>
    </row>
    <row r="159" spans="1:3" x14ac:dyDescent="0.25">
      <c r="A159" s="19" t="s">
        <v>156</v>
      </c>
      <c r="B159" s="2">
        <v>4000</v>
      </c>
      <c r="C159" s="60"/>
    </row>
    <row r="160" spans="1:3" x14ac:dyDescent="0.25">
      <c r="A160" s="21" t="s">
        <v>138</v>
      </c>
      <c r="B160" s="2">
        <v>0</v>
      </c>
      <c r="C160" s="60"/>
    </row>
    <row r="161" spans="1:3" x14ac:dyDescent="0.25">
      <c r="A161" s="21" t="s">
        <v>175</v>
      </c>
      <c r="B161" s="2">
        <v>0</v>
      </c>
      <c r="C161" s="60"/>
    </row>
    <row r="162" spans="1:3" x14ac:dyDescent="0.25">
      <c r="A162" s="21" t="s">
        <v>139</v>
      </c>
      <c r="B162" s="2">
        <v>4000</v>
      </c>
      <c r="C162" s="60" t="s">
        <v>198</v>
      </c>
    </row>
    <row r="163" spans="1:3" x14ac:dyDescent="0.25">
      <c r="A163" s="21" t="s">
        <v>140</v>
      </c>
      <c r="B163" s="2">
        <v>23134</v>
      </c>
      <c r="C163" s="60" t="s">
        <v>159</v>
      </c>
    </row>
    <row r="164" spans="1:3" x14ac:dyDescent="0.25">
      <c r="A164" s="19" t="s">
        <v>141</v>
      </c>
      <c r="B164" s="2">
        <v>38637</v>
      </c>
      <c r="C164" s="60" t="s">
        <v>159</v>
      </c>
    </row>
    <row r="165" spans="1:3" x14ac:dyDescent="0.25">
      <c r="A165" s="21" t="s">
        <v>142</v>
      </c>
      <c r="B165" s="2">
        <v>2449</v>
      </c>
      <c r="C165" s="60" t="s">
        <v>204</v>
      </c>
    </row>
    <row r="166" spans="1:3" x14ac:dyDescent="0.25">
      <c r="A166" s="21" t="s">
        <v>176</v>
      </c>
      <c r="B166" s="2">
        <v>563</v>
      </c>
      <c r="C166" s="60" t="s">
        <v>8</v>
      </c>
    </row>
    <row r="167" spans="1:3" x14ac:dyDescent="0.25">
      <c r="A167" s="19" t="s">
        <v>143</v>
      </c>
      <c r="B167" s="2">
        <v>600</v>
      </c>
      <c r="C167" s="60" t="s">
        <v>8</v>
      </c>
    </row>
    <row r="168" spans="1:3" x14ac:dyDescent="0.25">
      <c r="A168" s="22" t="s">
        <v>144</v>
      </c>
      <c r="B168" s="2">
        <v>76280</v>
      </c>
      <c r="C168" s="60" t="s">
        <v>223</v>
      </c>
    </row>
    <row r="169" spans="1:3" x14ac:dyDescent="0.25">
      <c r="A169" s="19" t="s">
        <v>145</v>
      </c>
      <c r="B169" s="2">
        <v>0</v>
      </c>
      <c r="C169" s="60"/>
    </row>
    <row r="170" spans="1:3" x14ac:dyDescent="0.25">
      <c r="A170" s="19" t="s">
        <v>168</v>
      </c>
      <c r="B170" s="2">
        <v>100</v>
      </c>
      <c r="C170" s="60" t="s">
        <v>8</v>
      </c>
    </row>
    <row r="171" spans="1:3" ht="15.75" thickBot="1" x14ac:dyDescent="0.3">
      <c r="A171" s="19" t="s">
        <v>146</v>
      </c>
      <c r="B171" s="2">
        <v>50</v>
      </c>
      <c r="C171" s="60" t="s">
        <v>8</v>
      </c>
    </row>
    <row r="172" spans="1:3" ht="16.5" thickBot="1" x14ac:dyDescent="0.3">
      <c r="A172" s="29" t="s">
        <v>147</v>
      </c>
      <c r="B172" s="30">
        <v>152610</v>
      </c>
      <c r="C172" s="61"/>
    </row>
    <row r="173" spans="1:3" ht="16.5" thickBot="1" x14ac:dyDescent="0.3">
      <c r="A173" s="34" t="s">
        <v>148</v>
      </c>
      <c r="B173" s="35">
        <v>3013765</v>
      </c>
      <c r="C173" s="62"/>
    </row>
    <row r="174" spans="1:3" x14ac:dyDescent="0.25">
      <c r="B174" s="147" t="s">
        <v>179</v>
      </c>
      <c r="C174" s="147"/>
    </row>
    <row r="175" spans="1:3" x14ac:dyDescent="0.25">
      <c r="B175" s="147" t="s">
        <v>181</v>
      </c>
      <c r="C175" s="147"/>
    </row>
    <row r="176" spans="1:3" x14ac:dyDescent="0.25">
      <c r="B176" s="147"/>
      <c r="C176" s="147"/>
    </row>
  </sheetData>
  <mergeCells count="4">
    <mergeCell ref="A2:C2"/>
    <mergeCell ref="A3:C3"/>
    <mergeCell ref="B174:C174"/>
    <mergeCell ref="B175:C176"/>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7"/>
  <sheetViews>
    <sheetView tabSelected="1" topLeftCell="B1" zoomScale="120" zoomScaleNormal="120" workbookViewId="0">
      <selection activeCell="L15" sqref="L15"/>
    </sheetView>
  </sheetViews>
  <sheetFormatPr defaultRowHeight="15" x14ac:dyDescent="0.25"/>
  <cols>
    <col min="1" max="1" width="0.85546875" hidden="1" customWidth="1"/>
    <col min="2" max="2" width="47.42578125" customWidth="1"/>
    <col min="3" max="3" width="11.42578125" customWidth="1"/>
    <col min="4" max="4" width="9.140625" customWidth="1"/>
    <col min="5" max="7" width="7.85546875" customWidth="1"/>
    <col min="8" max="8" width="8.28515625" customWidth="1"/>
    <col min="9" max="9" width="12.42578125" customWidth="1"/>
    <col min="13" max="13" width="14.7109375" customWidth="1"/>
    <col min="16" max="16" width="9.7109375" bestFit="1" customWidth="1"/>
  </cols>
  <sheetData>
    <row r="1" spans="2:16" ht="9.75" customHeight="1" x14ac:dyDescent="0.25"/>
    <row r="2" spans="2:16" x14ac:dyDescent="0.25">
      <c r="B2" s="144" t="s">
        <v>0</v>
      </c>
      <c r="C2" s="144"/>
      <c r="D2" s="144"/>
      <c r="E2" s="144"/>
      <c r="F2" s="144"/>
      <c r="G2" s="144"/>
      <c r="H2" s="144"/>
      <c r="I2" s="144"/>
    </row>
    <row r="3" spans="2:16" x14ac:dyDescent="0.25">
      <c r="B3" s="145" t="s">
        <v>225</v>
      </c>
      <c r="C3" s="145"/>
      <c r="D3" s="145"/>
      <c r="E3" s="145"/>
      <c r="F3" s="145"/>
      <c r="G3" s="145"/>
      <c r="H3" s="145"/>
      <c r="I3" s="145"/>
    </row>
    <row r="4" spans="2:16" ht="16.5" thickBot="1" x14ac:dyDescent="0.3">
      <c r="B4" s="3"/>
      <c r="C4" s="3"/>
      <c r="D4" s="3"/>
      <c r="E4" s="3"/>
      <c r="F4" s="3"/>
      <c r="G4" s="3"/>
      <c r="H4" s="3"/>
      <c r="I4" s="5" t="s">
        <v>1</v>
      </c>
    </row>
    <row r="5" spans="2:16" ht="82.5" thickBot="1" x14ac:dyDescent="0.3">
      <c r="B5" s="24" t="s">
        <v>2</v>
      </c>
      <c r="C5" s="33" t="s">
        <v>3</v>
      </c>
      <c r="D5" s="33" t="s">
        <v>186</v>
      </c>
      <c r="E5" s="33" t="s">
        <v>4</v>
      </c>
      <c r="F5" s="33" t="s">
        <v>197</v>
      </c>
      <c r="G5" s="33" t="s">
        <v>220</v>
      </c>
      <c r="H5" s="33" t="s">
        <v>186</v>
      </c>
      <c r="I5" s="25" t="s">
        <v>5</v>
      </c>
    </row>
    <row r="6" spans="2:16" ht="15.75" x14ac:dyDescent="0.25">
      <c r="B6" s="26" t="s">
        <v>6</v>
      </c>
      <c r="C6" s="95" t="s">
        <v>7</v>
      </c>
      <c r="D6" s="27" t="s">
        <v>199</v>
      </c>
      <c r="E6" s="27" t="s">
        <v>8</v>
      </c>
      <c r="F6" s="27" t="s">
        <v>198</v>
      </c>
      <c r="G6" s="95" t="s">
        <v>219</v>
      </c>
      <c r="H6" s="76">
        <v>13</v>
      </c>
      <c r="I6" s="28"/>
    </row>
    <row r="7" spans="2:16" x14ac:dyDescent="0.25">
      <c r="B7" s="6" t="s">
        <v>9</v>
      </c>
      <c r="C7" s="140">
        <f>2155096+335323+29000+C23+C30+70000+2965+13592+3162+31770+8000</f>
        <v>2735232</v>
      </c>
      <c r="D7" s="109"/>
      <c r="E7" s="7"/>
      <c r="F7" s="64"/>
      <c r="G7" s="9"/>
      <c r="H7" s="9"/>
      <c r="I7" s="2">
        <f>SUM(C7:H7)</f>
        <v>2735232</v>
      </c>
    </row>
    <row r="8" spans="2:16" x14ac:dyDescent="0.25">
      <c r="B8" s="8" t="s">
        <v>10</v>
      </c>
      <c r="C8" s="142">
        <f>28311+2392+8379</f>
        <v>39082</v>
      </c>
      <c r="D8" s="73"/>
      <c r="E8" s="9"/>
      <c r="F8" s="64"/>
      <c r="G8" s="64"/>
      <c r="H8" s="64"/>
      <c r="I8" s="2">
        <f t="shared" ref="I8:I14" si="0">SUM(C8:H8)</f>
        <v>39082</v>
      </c>
    </row>
    <row r="9" spans="2:16" x14ac:dyDescent="0.25">
      <c r="B9" s="8" t="s">
        <v>195</v>
      </c>
      <c r="C9" s="9"/>
      <c r="D9" s="9"/>
      <c r="E9" s="9">
        <f>54750+2000+2500+530+750+670-3000-930-1070+550+1775+2000+6860</f>
        <v>67385</v>
      </c>
      <c r="F9" s="64"/>
      <c r="G9" s="64"/>
      <c r="H9" s="64"/>
      <c r="I9" s="2">
        <f t="shared" si="0"/>
        <v>67385</v>
      </c>
    </row>
    <row r="10" spans="2:16" x14ac:dyDescent="0.25">
      <c r="B10" s="8" t="s">
        <v>169</v>
      </c>
      <c r="C10" s="66">
        <f>2527</f>
        <v>2527</v>
      </c>
      <c r="D10" s="9"/>
      <c r="E10" s="9">
        <f>4500+3000+250+900</f>
        <v>8650</v>
      </c>
      <c r="F10" s="64"/>
      <c r="G10" s="64"/>
      <c r="H10" s="64"/>
      <c r="I10" s="2">
        <f t="shared" si="0"/>
        <v>11177</v>
      </c>
    </row>
    <row r="11" spans="2:16" x14ac:dyDescent="0.25">
      <c r="B11" s="8" t="s">
        <v>170</v>
      </c>
      <c r="C11" s="9"/>
      <c r="D11" s="102">
        <f>80011+700+4000+48410-700</f>
        <v>132421</v>
      </c>
      <c r="E11" s="9"/>
      <c r="F11" s="64">
        <f>729+4000+1870</f>
        <v>6599</v>
      </c>
      <c r="G11" s="64"/>
      <c r="H11" s="64"/>
      <c r="I11" s="2">
        <f>SUM(C11:H11)</f>
        <v>139020</v>
      </c>
    </row>
    <row r="12" spans="2:16" x14ac:dyDescent="0.25">
      <c r="B12" s="8" t="s">
        <v>196</v>
      </c>
      <c r="C12" s="9"/>
      <c r="D12" s="102">
        <f>8323+3450+700</f>
        <v>12473</v>
      </c>
      <c r="E12" s="9"/>
      <c r="F12" s="64">
        <f>500+181</f>
        <v>681</v>
      </c>
      <c r="G12" s="64"/>
      <c r="H12" s="64"/>
      <c r="I12" s="2">
        <f t="shared" si="0"/>
        <v>13154</v>
      </c>
      <c r="L12" s="56"/>
    </row>
    <row r="13" spans="2:16" x14ac:dyDescent="0.25">
      <c r="B13" s="8" t="s">
        <v>221</v>
      </c>
      <c r="C13" s="1"/>
      <c r="D13" s="114"/>
      <c r="E13" s="1"/>
      <c r="F13" s="64"/>
      <c r="G13" s="64">
        <v>14748</v>
      </c>
      <c r="H13" s="64"/>
      <c r="I13" s="2">
        <f t="shared" si="0"/>
        <v>14748</v>
      </c>
      <c r="L13" s="56"/>
      <c r="P13" s="56"/>
    </row>
    <row r="14" spans="2:16" x14ac:dyDescent="0.25">
      <c r="B14" s="8" t="s">
        <v>13</v>
      </c>
      <c r="C14" s="1">
        <f>2479+27+105</f>
        <v>2611</v>
      </c>
      <c r="D14" s="1"/>
      <c r="E14" s="1">
        <v>5650</v>
      </c>
      <c r="F14" s="9"/>
      <c r="G14" s="9"/>
      <c r="H14" s="9"/>
      <c r="I14" s="2">
        <f t="shared" si="0"/>
        <v>8261</v>
      </c>
      <c r="P14" s="56"/>
    </row>
    <row r="15" spans="2:16" ht="15.75" thickBot="1" x14ac:dyDescent="0.3">
      <c r="B15" s="10" t="s">
        <v>172</v>
      </c>
      <c r="C15" s="1"/>
      <c r="D15" s="1"/>
      <c r="E15" s="1"/>
      <c r="F15" s="37"/>
      <c r="G15" s="37"/>
      <c r="H15" s="37">
        <f>2797+288</f>
        <v>3085</v>
      </c>
      <c r="I15" s="2">
        <f>SUM(C15:H15)</f>
        <v>3085</v>
      </c>
      <c r="P15" s="56"/>
    </row>
    <row r="16" spans="2:16" ht="16.5" thickBot="1" x14ac:dyDescent="0.3">
      <c r="B16" s="29" t="s">
        <v>14</v>
      </c>
      <c r="C16" s="30">
        <f>SUM(C7:C15)</f>
        <v>2779452</v>
      </c>
      <c r="D16" s="30">
        <f>SUM(D7:D15)</f>
        <v>144894</v>
      </c>
      <c r="E16" s="30">
        <f>SUM(E7:E15)</f>
        <v>81685</v>
      </c>
      <c r="F16" s="30">
        <f t="shared" ref="F16:H16" si="1">SUM(F7:F15)</f>
        <v>7280</v>
      </c>
      <c r="G16" s="30">
        <f t="shared" si="1"/>
        <v>14748</v>
      </c>
      <c r="H16" s="30">
        <f t="shared" si="1"/>
        <v>3085</v>
      </c>
      <c r="I16" s="30">
        <f>SUM(I7:I15)</f>
        <v>3031144</v>
      </c>
    </row>
    <row r="17" spans="2:12" ht="6.75" customHeight="1" thickBot="1" x14ac:dyDescent="0.3">
      <c r="B17" s="3"/>
      <c r="C17" s="11"/>
      <c r="D17" s="11"/>
      <c r="E17" s="11"/>
      <c r="F17" s="11"/>
      <c r="G17" s="11"/>
      <c r="H17" s="11"/>
      <c r="I17" s="11"/>
    </row>
    <row r="18" spans="2:12" ht="82.5" thickBot="1" x14ac:dyDescent="0.3">
      <c r="B18" s="24" t="s">
        <v>15</v>
      </c>
      <c r="C18" s="33" t="s">
        <v>3</v>
      </c>
      <c r="D18" s="33" t="s">
        <v>186</v>
      </c>
      <c r="E18" s="33" t="s">
        <v>4</v>
      </c>
      <c r="F18" s="33" t="s">
        <v>197</v>
      </c>
      <c r="G18" s="33" t="s">
        <v>220</v>
      </c>
      <c r="H18" s="33" t="s">
        <v>186</v>
      </c>
      <c r="I18" s="25" t="s">
        <v>5</v>
      </c>
    </row>
    <row r="19" spans="2:12" ht="16.5" thickBot="1" x14ac:dyDescent="0.3">
      <c r="B19" s="31" t="s">
        <v>6</v>
      </c>
      <c r="C19" s="31" t="s">
        <v>7</v>
      </c>
      <c r="D19" s="27" t="s">
        <v>199</v>
      </c>
      <c r="E19" s="27" t="s">
        <v>8</v>
      </c>
      <c r="F19" s="95" t="s">
        <v>198</v>
      </c>
      <c r="G19" s="95" t="s">
        <v>219</v>
      </c>
      <c r="H19" s="76">
        <v>13</v>
      </c>
      <c r="I19" s="28"/>
    </row>
    <row r="20" spans="2:12" ht="15.75" thickBot="1" x14ac:dyDescent="0.3">
      <c r="B20" s="41" t="s">
        <v>16</v>
      </c>
      <c r="C20" s="45">
        <f>1870011+313095+70000</f>
        <v>2253106</v>
      </c>
      <c r="D20" s="105">
        <f>80+5678+1893-29</f>
        <v>7622</v>
      </c>
      <c r="E20" s="45">
        <f>22550-550+3000-1000</f>
        <v>24000</v>
      </c>
      <c r="F20" s="45">
        <v>181</v>
      </c>
      <c r="G20" s="45"/>
      <c r="H20" s="45">
        <v>288</v>
      </c>
      <c r="I20" s="45">
        <f>SUM(C20:H20)</f>
        <v>2285197</v>
      </c>
      <c r="L20" s="56"/>
    </row>
    <row r="21" spans="2:12" ht="15.75" thickBot="1" x14ac:dyDescent="0.3">
      <c r="B21" s="41" t="s">
        <v>17</v>
      </c>
      <c r="C21" s="45">
        <f>48936+7363</f>
        <v>56299</v>
      </c>
      <c r="D21" s="45"/>
      <c r="E21" s="45">
        <v>400</v>
      </c>
      <c r="F21" s="45"/>
      <c r="G21" s="45"/>
      <c r="H21" s="45"/>
      <c r="I21" s="45">
        <f t="shared" ref="I21:I22" si="2">SUM(C21:H21)</f>
        <v>56699</v>
      </c>
      <c r="K21" s="56"/>
      <c r="L21" s="56"/>
    </row>
    <row r="22" spans="2:12" ht="15.75" thickBot="1" x14ac:dyDescent="0.3">
      <c r="B22" s="41" t="s">
        <v>18</v>
      </c>
      <c r="C22" s="45"/>
      <c r="D22" s="45"/>
      <c r="E22" s="45">
        <f>1800+100+140+500</f>
        <v>2540</v>
      </c>
      <c r="F22" s="45"/>
      <c r="G22" s="45"/>
      <c r="H22" s="45"/>
      <c r="I22" s="45">
        <f t="shared" si="2"/>
        <v>2540</v>
      </c>
    </row>
    <row r="23" spans="2:12" ht="15.75" thickBot="1" x14ac:dyDescent="0.3">
      <c r="B23" s="41" t="s">
        <v>19</v>
      </c>
      <c r="C23" s="42">
        <f>+C25+C26+C27+C28+C29+C24</f>
        <v>46824</v>
      </c>
      <c r="D23" s="42"/>
      <c r="E23" s="42">
        <f t="shared" ref="E23:H23" si="3">+E25+E26+E27+E28+E29</f>
        <v>1400</v>
      </c>
      <c r="F23" s="42"/>
      <c r="G23" s="42"/>
      <c r="H23" s="42">
        <f t="shared" si="3"/>
        <v>0</v>
      </c>
      <c r="I23" s="42">
        <f>+I24+I25+I26+I27+I28+I29</f>
        <v>48224</v>
      </c>
    </row>
    <row r="24" spans="2:12" s="111" customFormat="1" x14ac:dyDescent="0.25">
      <c r="B24" s="110" t="s">
        <v>177</v>
      </c>
      <c r="C24" s="73">
        <v>104</v>
      </c>
      <c r="D24" s="73"/>
      <c r="E24" s="73"/>
      <c r="F24" s="75"/>
      <c r="G24" s="75"/>
      <c r="H24" s="75"/>
      <c r="I24" s="75">
        <f>SUM(C24:H24)</f>
        <v>104</v>
      </c>
    </row>
    <row r="25" spans="2:12" x14ac:dyDescent="0.25">
      <c r="B25" s="6" t="s">
        <v>20</v>
      </c>
      <c r="C25" s="9"/>
      <c r="D25" s="9"/>
      <c r="E25" s="9">
        <v>600</v>
      </c>
      <c r="F25" s="7"/>
      <c r="G25" s="7"/>
      <c r="H25" s="7"/>
      <c r="I25" s="7">
        <f>SUM(C25:H25)</f>
        <v>600</v>
      </c>
    </row>
    <row r="26" spans="2:12" x14ac:dyDescent="0.25">
      <c r="B26" s="8" t="s">
        <v>185</v>
      </c>
      <c r="C26" s="73">
        <f>7650+9700</f>
        <v>17350</v>
      </c>
      <c r="D26" s="73"/>
      <c r="E26" s="9">
        <v>400</v>
      </c>
      <c r="F26" s="7"/>
      <c r="G26" s="7"/>
      <c r="H26" s="7"/>
      <c r="I26" s="7">
        <f t="shared" ref="I26:I29" si="4">SUM(C26:H26)</f>
        <v>17750</v>
      </c>
    </row>
    <row r="27" spans="2:12" x14ac:dyDescent="0.25">
      <c r="B27" s="8" t="s">
        <v>22</v>
      </c>
      <c r="C27" s="9">
        <f>250-53+303</f>
        <v>500</v>
      </c>
      <c r="D27" s="9"/>
      <c r="E27" s="9">
        <v>100</v>
      </c>
      <c r="F27" s="7"/>
      <c r="G27" s="7"/>
      <c r="H27" s="7"/>
      <c r="I27" s="7">
        <f t="shared" si="4"/>
        <v>600</v>
      </c>
    </row>
    <row r="28" spans="2:12" x14ac:dyDescent="0.25">
      <c r="B28" s="12" t="s">
        <v>23</v>
      </c>
      <c r="C28" s="139">
        <f>750+150+500+1200+1000</f>
        <v>3600</v>
      </c>
      <c r="D28" s="1"/>
      <c r="E28" s="1">
        <v>100</v>
      </c>
      <c r="F28" s="9"/>
      <c r="G28" s="9"/>
      <c r="H28" s="9"/>
      <c r="I28" s="7">
        <f t="shared" si="4"/>
        <v>3700</v>
      </c>
    </row>
    <row r="29" spans="2:12" ht="15.75" thickBot="1" x14ac:dyDescent="0.3">
      <c r="B29" s="8" t="s">
        <v>167</v>
      </c>
      <c r="C29" s="74">
        <f>5600+17774-104+2000</f>
        <v>25270</v>
      </c>
      <c r="D29" s="74"/>
      <c r="E29" s="93">
        <f>900-700</f>
        <v>200</v>
      </c>
      <c r="F29" s="90"/>
      <c r="G29" s="90"/>
      <c r="H29" s="13"/>
      <c r="I29" s="7">
        <f t="shared" si="4"/>
        <v>25470</v>
      </c>
    </row>
    <row r="30" spans="2:12" ht="15.75" thickBot="1" x14ac:dyDescent="0.3">
      <c r="B30" s="41" t="s">
        <v>24</v>
      </c>
      <c r="C30" s="45">
        <f t="shared" ref="C30" si="5">+C31</f>
        <v>39500</v>
      </c>
      <c r="D30" s="45"/>
      <c r="E30" s="135">
        <f>+E31+E32</f>
        <v>535</v>
      </c>
      <c r="F30" s="44"/>
      <c r="G30" s="44"/>
      <c r="H30" s="44"/>
      <c r="I30" s="45">
        <f>I31+I32</f>
        <v>40035</v>
      </c>
    </row>
    <row r="31" spans="2:12" x14ac:dyDescent="0.25">
      <c r="B31" s="10" t="s">
        <v>25</v>
      </c>
      <c r="C31" s="13">
        <f>29500+10000</f>
        <v>39500</v>
      </c>
      <c r="D31" s="37"/>
      <c r="E31" s="98">
        <f>200+25</f>
        <v>225</v>
      </c>
      <c r="F31" s="37"/>
      <c r="G31" s="37"/>
      <c r="H31" s="7"/>
      <c r="I31" s="88">
        <f>SUM(C31:E31)</f>
        <v>39725</v>
      </c>
    </row>
    <row r="32" spans="2:12" x14ac:dyDescent="0.25">
      <c r="B32" s="53" t="s">
        <v>178</v>
      </c>
      <c r="C32" s="9"/>
      <c r="D32" s="9"/>
      <c r="E32" s="9">
        <v>310</v>
      </c>
      <c r="F32" s="9"/>
      <c r="G32" s="9"/>
      <c r="H32" s="9"/>
      <c r="I32" s="9">
        <f>SUM(C32:E32)</f>
        <v>310</v>
      </c>
    </row>
    <row r="33" spans="2:12" ht="15.75" thickBot="1" x14ac:dyDescent="0.3">
      <c r="B33" s="48" t="s">
        <v>26</v>
      </c>
      <c r="C33" s="86">
        <f>SUM(C34:C57)</f>
        <v>105747</v>
      </c>
      <c r="D33" s="86"/>
      <c r="E33" s="86">
        <f t="shared" ref="E33" si="6">SUM(E34:E57)</f>
        <v>11185</v>
      </c>
      <c r="F33" s="86"/>
      <c r="G33" s="86"/>
      <c r="H33" s="86"/>
      <c r="I33" s="86">
        <f>SUM(I34:I57)</f>
        <v>116932</v>
      </c>
    </row>
    <row r="34" spans="2:12" x14ac:dyDescent="0.25">
      <c r="B34" s="53" t="s">
        <v>27</v>
      </c>
      <c r="C34" s="9">
        <v>2000</v>
      </c>
      <c r="D34" s="9"/>
      <c r="E34" s="9">
        <f>200+100+50</f>
        <v>350</v>
      </c>
      <c r="F34" s="9"/>
      <c r="G34" s="9"/>
      <c r="H34" s="9"/>
      <c r="I34" s="9">
        <f>SUM(C34:H34)</f>
        <v>2350</v>
      </c>
    </row>
    <row r="35" spans="2:12" x14ac:dyDescent="0.25">
      <c r="B35" s="53" t="s">
        <v>28</v>
      </c>
      <c r="C35" s="104">
        <f>27392+100+2000+300+500+1000</f>
        <v>31292</v>
      </c>
      <c r="D35" s="73"/>
      <c r="E35" s="73">
        <f>500+250-250</f>
        <v>500</v>
      </c>
      <c r="F35" s="66"/>
      <c r="G35" s="66"/>
      <c r="H35" s="9"/>
      <c r="I35" s="9">
        <f t="shared" ref="I35:I57" si="7">SUM(C35:H35)</f>
        <v>31792</v>
      </c>
    </row>
    <row r="36" spans="2:12" x14ac:dyDescent="0.25">
      <c r="B36" s="53" t="s">
        <v>29</v>
      </c>
      <c r="C36" s="104">
        <f>11000+1500+1000-800+1400</f>
        <v>14100</v>
      </c>
      <c r="D36" s="73"/>
      <c r="E36" s="73">
        <f>100+1400-800</f>
        <v>700</v>
      </c>
      <c r="F36" s="66"/>
      <c r="G36" s="66"/>
      <c r="H36" s="9"/>
      <c r="I36" s="9">
        <f t="shared" si="7"/>
        <v>14800</v>
      </c>
    </row>
    <row r="37" spans="2:12" x14ac:dyDescent="0.25">
      <c r="B37" s="53" t="s">
        <v>30</v>
      </c>
      <c r="C37" s="73">
        <v>100</v>
      </c>
      <c r="D37" s="73"/>
      <c r="E37" s="9"/>
      <c r="F37" s="9"/>
      <c r="G37" s="9"/>
      <c r="H37" s="9"/>
      <c r="I37" s="9">
        <f t="shared" si="7"/>
        <v>100</v>
      </c>
      <c r="K37" s="56"/>
    </row>
    <row r="38" spans="2:12" x14ac:dyDescent="0.25">
      <c r="B38" s="53" t="s">
        <v>31</v>
      </c>
      <c r="C38" s="104">
        <f>21000+2000-1000-1300+200-1400-1000</f>
        <v>18500</v>
      </c>
      <c r="D38" s="73"/>
      <c r="E38" s="108">
        <f>2500+1600+350-150+700</f>
        <v>5000</v>
      </c>
      <c r="F38" s="66"/>
      <c r="G38" s="66"/>
      <c r="H38" s="9"/>
      <c r="I38" s="9">
        <f t="shared" si="7"/>
        <v>23500</v>
      </c>
      <c r="L38" s="56"/>
    </row>
    <row r="39" spans="2:12" x14ac:dyDescent="0.25">
      <c r="B39" s="53" t="s">
        <v>32</v>
      </c>
      <c r="C39" s="104">
        <f>6540-200+800+160+640</f>
        <v>7940</v>
      </c>
      <c r="D39" s="73"/>
      <c r="E39" s="73">
        <f>120+60</f>
        <v>180</v>
      </c>
      <c r="F39" s="9"/>
      <c r="G39" s="9"/>
      <c r="H39" s="9"/>
      <c r="I39" s="9">
        <f t="shared" si="7"/>
        <v>8120</v>
      </c>
      <c r="L39" s="56"/>
    </row>
    <row r="40" spans="2:12" x14ac:dyDescent="0.25">
      <c r="B40" s="53" t="s">
        <v>33</v>
      </c>
      <c r="C40" s="9">
        <f>500-50+100+50-50</f>
        <v>550</v>
      </c>
      <c r="D40" s="9"/>
      <c r="E40" s="9"/>
      <c r="F40" s="9"/>
      <c r="G40" s="9"/>
      <c r="H40" s="9"/>
      <c r="I40" s="9">
        <f t="shared" si="7"/>
        <v>550</v>
      </c>
    </row>
    <row r="41" spans="2:12" x14ac:dyDescent="0.25">
      <c r="B41" s="53" t="s">
        <v>34</v>
      </c>
      <c r="C41" s="9">
        <f>550-50-50-50</f>
        <v>400</v>
      </c>
      <c r="D41" s="9"/>
      <c r="E41" s="9"/>
      <c r="F41" s="9"/>
      <c r="G41" s="9"/>
      <c r="H41" s="9"/>
      <c r="I41" s="9">
        <f t="shared" si="7"/>
        <v>400</v>
      </c>
    </row>
    <row r="42" spans="2:12" x14ac:dyDescent="0.25">
      <c r="B42" s="53" t="s">
        <v>35</v>
      </c>
      <c r="C42" s="102">
        <f>6000-800+200+1700-100+25+1200</f>
        <v>8225</v>
      </c>
      <c r="D42" s="9"/>
      <c r="E42" s="9"/>
      <c r="F42" s="9"/>
      <c r="G42" s="9"/>
      <c r="H42" s="9"/>
      <c r="I42" s="9">
        <f t="shared" si="7"/>
        <v>8225</v>
      </c>
    </row>
    <row r="43" spans="2:12" x14ac:dyDescent="0.25">
      <c r="B43" s="53" t="s">
        <v>36</v>
      </c>
      <c r="C43" s="104">
        <f>3600+550+2200-900+110+670</f>
        <v>6230</v>
      </c>
      <c r="D43" s="9"/>
      <c r="E43" s="73">
        <f>3600-550+15</f>
        <v>3065</v>
      </c>
      <c r="F43" s="9"/>
      <c r="G43" s="9"/>
      <c r="H43" s="9"/>
      <c r="I43" s="9">
        <f t="shared" si="7"/>
        <v>9295</v>
      </c>
    </row>
    <row r="44" spans="2:12" x14ac:dyDescent="0.25">
      <c r="B44" s="53" t="s">
        <v>37</v>
      </c>
      <c r="C44" s="9">
        <f>6600-1000-600+320</f>
        <v>5320</v>
      </c>
      <c r="D44" s="9"/>
      <c r="E44" s="9"/>
      <c r="F44" s="9"/>
      <c r="G44" s="9"/>
      <c r="H44" s="9"/>
      <c r="I44" s="9">
        <f t="shared" si="7"/>
        <v>5320</v>
      </c>
    </row>
    <row r="45" spans="2:12" x14ac:dyDescent="0.25">
      <c r="B45" s="53" t="s">
        <v>38</v>
      </c>
      <c r="C45" s="102">
        <f>2700+90</f>
        <v>2790</v>
      </c>
      <c r="D45" s="9"/>
      <c r="E45" s="9"/>
      <c r="F45" s="9"/>
      <c r="G45" s="9"/>
      <c r="H45" s="9"/>
      <c r="I45" s="9">
        <f t="shared" si="7"/>
        <v>2790</v>
      </c>
    </row>
    <row r="46" spans="2:12" x14ac:dyDescent="0.25">
      <c r="B46" s="53" t="s">
        <v>39</v>
      </c>
      <c r="C46" s="102">
        <f>1500-100-150</f>
        <v>1250</v>
      </c>
      <c r="D46" s="9"/>
      <c r="E46" s="9"/>
      <c r="F46" s="9"/>
      <c r="G46" s="9"/>
      <c r="H46" s="9"/>
      <c r="I46" s="9">
        <f t="shared" si="7"/>
        <v>1250</v>
      </c>
    </row>
    <row r="47" spans="2:12" x14ac:dyDescent="0.25">
      <c r="B47" s="53" t="s">
        <v>40</v>
      </c>
      <c r="C47" s="9"/>
      <c r="D47" s="9"/>
      <c r="E47" s="9"/>
      <c r="F47" s="9"/>
      <c r="G47" s="9"/>
      <c r="H47" s="9"/>
      <c r="I47" s="9">
        <f t="shared" si="7"/>
        <v>0</v>
      </c>
    </row>
    <row r="48" spans="2:12" x14ac:dyDescent="0.25">
      <c r="B48" s="53" t="s">
        <v>41</v>
      </c>
      <c r="C48" s="9">
        <f>600+100-50-50</f>
        <v>600</v>
      </c>
      <c r="D48" s="9"/>
      <c r="E48" s="9">
        <v>50</v>
      </c>
      <c r="F48" s="9"/>
      <c r="G48" s="9"/>
      <c r="H48" s="9"/>
      <c r="I48" s="9">
        <f t="shared" si="7"/>
        <v>650</v>
      </c>
    </row>
    <row r="49" spans="2:9" x14ac:dyDescent="0.25">
      <c r="B49" s="53" t="s">
        <v>42</v>
      </c>
      <c r="C49" s="9">
        <f>350+150</f>
        <v>500</v>
      </c>
      <c r="D49" s="9"/>
      <c r="E49" s="9"/>
      <c r="F49" s="9"/>
      <c r="G49" s="9"/>
      <c r="H49" s="9"/>
      <c r="I49" s="9">
        <f t="shared" si="7"/>
        <v>500</v>
      </c>
    </row>
    <row r="50" spans="2:9" x14ac:dyDescent="0.25">
      <c r="B50" s="53" t="s">
        <v>43</v>
      </c>
      <c r="C50" s="9">
        <f>550+50</f>
        <v>600</v>
      </c>
      <c r="D50" s="9"/>
      <c r="E50" s="9"/>
      <c r="F50" s="9"/>
      <c r="G50" s="9"/>
      <c r="H50" s="9"/>
      <c r="I50" s="9">
        <f t="shared" si="7"/>
        <v>600</v>
      </c>
    </row>
    <row r="51" spans="2:9" x14ac:dyDescent="0.25">
      <c r="B51" s="53" t="s">
        <v>44</v>
      </c>
      <c r="C51" s="9">
        <f>3800</f>
        <v>3800</v>
      </c>
      <c r="D51" s="9"/>
      <c r="E51" s="9"/>
      <c r="F51" s="9"/>
      <c r="G51" s="9"/>
      <c r="H51" s="9"/>
      <c r="I51" s="9">
        <f t="shared" si="7"/>
        <v>3800</v>
      </c>
    </row>
    <row r="52" spans="2:9" x14ac:dyDescent="0.25">
      <c r="B52" s="53" t="s">
        <v>45</v>
      </c>
      <c r="C52" s="9">
        <f>1200+350</f>
        <v>1550</v>
      </c>
      <c r="D52" s="9"/>
      <c r="E52" s="9"/>
      <c r="F52" s="9"/>
      <c r="G52" s="9"/>
      <c r="H52" s="9"/>
      <c r="I52" s="9">
        <f t="shared" si="7"/>
        <v>1550</v>
      </c>
    </row>
    <row r="53" spans="2:9" x14ac:dyDescent="0.25">
      <c r="B53" s="53" t="s">
        <v>46</v>
      </c>
      <c r="C53" s="9"/>
      <c r="D53" s="9"/>
      <c r="E53" s="9">
        <v>280</v>
      </c>
      <c r="F53" s="9"/>
      <c r="G53" s="9"/>
      <c r="H53" s="9"/>
      <c r="I53" s="9">
        <f t="shared" si="7"/>
        <v>280</v>
      </c>
    </row>
    <row r="54" spans="2:9" x14ac:dyDescent="0.25">
      <c r="B54" s="53" t="s">
        <v>153</v>
      </c>
      <c r="C54" s="9"/>
      <c r="D54" s="9"/>
      <c r="E54" s="9">
        <f>110+30+220</f>
        <v>360</v>
      </c>
      <c r="F54" s="9"/>
      <c r="G54" s="9"/>
      <c r="H54" s="9"/>
      <c r="I54" s="9">
        <f t="shared" si="7"/>
        <v>360</v>
      </c>
    </row>
    <row r="55" spans="2:9" x14ac:dyDescent="0.25">
      <c r="B55" s="53" t="s">
        <v>47</v>
      </c>
      <c r="C55" s="9"/>
      <c r="D55" s="9"/>
      <c r="E55" s="9"/>
      <c r="F55" s="9"/>
      <c r="G55" s="9"/>
      <c r="H55" s="9"/>
      <c r="I55" s="9">
        <f t="shared" si="7"/>
        <v>0</v>
      </c>
    </row>
    <row r="56" spans="2:9" x14ac:dyDescent="0.25">
      <c r="B56" s="54" t="s">
        <v>48</v>
      </c>
      <c r="C56" s="9"/>
      <c r="D56" s="9"/>
      <c r="E56" s="9">
        <f>200-20+50</f>
        <v>230</v>
      </c>
      <c r="F56" s="9"/>
      <c r="G56" s="9"/>
      <c r="H56" s="9"/>
      <c r="I56" s="9">
        <f t="shared" si="7"/>
        <v>230</v>
      </c>
    </row>
    <row r="57" spans="2:9" ht="15.75" thickBot="1" x14ac:dyDescent="0.3">
      <c r="B57" s="53" t="s">
        <v>49</v>
      </c>
      <c r="C57" s="55"/>
      <c r="D57" s="55"/>
      <c r="E57" s="9">
        <f>150+100+50+50+20+100</f>
        <v>470</v>
      </c>
      <c r="F57" s="9"/>
      <c r="G57" s="9"/>
      <c r="H57" s="55"/>
      <c r="I57" s="9">
        <f t="shared" si="7"/>
        <v>470</v>
      </c>
    </row>
    <row r="58" spans="2:9" ht="15.75" thickBot="1" x14ac:dyDescent="0.3">
      <c r="B58" s="41" t="s">
        <v>50</v>
      </c>
      <c r="C58" s="42">
        <f>SUM(C59:C67)</f>
        <v>0</v>
      </c>
      <c r="D58" s="42"/>
      <c r="E58" s="42">
        <f t="shared" ref="E58" si="8">SUM(E59:E67)</f>
        <v>1476</v>
      </c>
      <c r="F58" s="42"/>
      <c r="G58" s="42"/>
      <c r="H58" s="42"/>
      <c r="I58" s="44">
        <f>SUM(I59:I67)</f>
        <v>1476</v>
      </c>
    </row>
    <row r="59" spans="2:9" x14ac:dyDescent="0.25">
      <c r="B59" s="4" t="s">
        <v>51</v>
      </c>
      <c r="C59" s="7"/>
      <c r="D59" s="7"/>
      <c r="E59" s="7">
        <v>0</v>
      </c>
      <c r="F59" s="7"/>
      <c r="G59" s="7"/>
      <c r="H59" s="7"/>
      <c r="I59" s="7">
        <f>SUM(C59:H59)</f>
        <v>0</v>
      </c>
    </row>
    <row r="60" spans="2:9" x14ac:dyDescent="0.25">
      <c r="B60" s="8" t="s">
        <v>52</v>
      </c>
      <c r="C60" s="9"/>
      <c r="D60" s="9"/>
      <c r="E60" s="9">
        <v>100</v>
      </c>
      <c r="F60" s="9"/>
      <c r="G60" s="9"/>
      <c r="H60" s="9"/>
      <c r="I60" s="7">
        <f t="shared" ref="I60:I67" si="9">SUM(C60:H60)</f>
        <v>100</v>
      </c>
    </row>
    <row r="61" spans="2:9" x14ac:dyDescent="0.25">
      <c r="B61" s="8" t="s">
        <v>53</v>
      </c>
      <c r="C61" s="9"/>
      <c r="D61" s="9"/>
      <c r="E61" s="9">
        <f>600+200</f>
        <v>800</v>
      </c>
      <c r="F61" s="9"/>
      <c r="G61" s="9"/>
      <c r="H61" s="9"/>
      <c r="I61" s="7">
        <f t="shared" si="9"/>
        <v>800</v>
      </c>
    </row>
    <row r="62" spans="2:9" x14ac:dyDescent="0.25">
      <c r="B62" s="8" t="s">
        <v>54</v>
      </c>
      <c r="C62" s="9"/>
      <c r="D62" s="9"/>
      <c r="E62" s="9">
        <v>50</v>
      </c>
      <c r="F62" s="9"/>
      <c r="G62" s="9"/>
      <c r="H62" s="9"/>
      <c r="I62" s="7">
        <f t="shared" si="9"/>
        <v>50</v>
      </c>
    </row>
    <row r="63" spans="2:9" x14ac:dyDescent="0.25">
      <c r="B63" s="8" t="s">
        <v>55</v>
      </c>
      <c r="C63" s="9"/>
      <c r="D63" s="9"/>
      <c r="E63" s="9">
        <f>100-50</f>
        <v>50</v>
      </c>
      <c r="F63" s="9"/>
      <c r="G63" s="9"/>
      <c r="H63" s="9"/>
      <c r="I63" s="7">
        <f t="shared" si="9"/>
        <v>50</v>
      </c>
    </row>
    <row r="64" spans="2:9" x14ac:dyDescent="0.25">
      <c r="B64" s="8" t="s">
        <v>56</v>
      </c>
      <c r="C64" s="9"/>
      <c r="D64" s="9"/>
      <c r="E64" s="9">
        <v>100</v>
      </c>
      <c r="F64" s="9"/>
      <c r="G64" s="9"/>
      <c r="H64" s="9"/>
      <c r="I64" s="7">
        <f t="shared" si="9"/>
        <v>100</v>
      </c>
    </row>
    <row r="65" spans="2:9" x14ac:dyDescent="0.25">
      <c r="B65" s="8" t="s">
        <v>57</v>
      </c>
      <c r="C65" s="9"/>
      <c r="D65" s="9"/>
      <c r="E65" s="9">
        <v>100</v>
      </c>
      <c r="F65" s="9"/>
      <c r="G65" s="9"/>
      <c r="H65" s="9"/>
      <c r="I65" s="7">
        <f t="shared" si="9"/>
        <v>100</v>
      </c>
    </row>
    <row r="66" spans="2:9" x14ac:dyDescent="0.25">
      <c r="B66" s="8" t="s">
        <v>58</v>
      </c>
      <c r="C66" s="9"/>
      <c r="D66" s="9"/>
      <c r="E66" s="9">
        <f>50-50</f>
        <v>0</v>
      </c>
      <c r="F66" s="9"/>
      <c r="G66" s="9"/>
      <c r="H66" s="9"/>
      <c r="I66" s="7">
        <f t="shared" si="9"/>
        <v>0</v>
      </c>
    </row>
    <row r="67" spans="2:9" ht="15.75" thickBot="1" x14ac:dyDescent="0.3">
      <c r="B67" s="12" t="s">
        <v>59</v>
      </c>
      <c r="C67" s="1"/>
      <c r="D67" s="1"/>
      <c r="E67" s="1">
        <f>76+200</f>
        <v>276</v>
      </c>
      <c r="F67" s="1"/>
      <c r="G67" s="1"/>
      <c r="H67" s="1"/>
      <c r="I67" s="7">
        <f t="shared" si="9"/>
        <v>276</v>
      </c>
    </row>
    <row r="68" spans="2:9" ht="15.75" thickBot="1" x14ac:dyDescent="0.3">
      <c r="B68" s="41" t="s">
        <v>60</v>
      </c>
      <c r="C68" s="42">
        <f>SUM(C69:C92)</f>
        <v>23927</v>
      </c>
      <c r="D68" s="42">
        <f>SUM(D69:D92)</f>
        <v>4224</v>
      </c>
      <c r="E68" s="42">
        <f>SUM(E69:E92)</f>
        <v>10504</v>
      </c>
      <c r="F68" s="42">
        <f t="shared" ref="F68:H68" si="10">SUM(F69:F92)</f>
        <v>0</v>
      </c>
      <c r="G68" s="42">
        <f t="shared" si="10"/>
        <v>40</v>
      </c>
      <c r="H68" s="42">
        <f t="shared" si="10"/>
        <v>0</v>
      </c>
      <c r="I68" s="44">
        <f>SUM(I69:I92)</f>
        <v>38695</v>
      </c>
    </row>
    <row r="69" spans="2:9" x14ac:dyDescent="0.25">
      <c r="B69" s="14" t="s">
        <v>165</v>
      </c>
      <c r="C69" s="7"/>
      <c r="D69" s="7"/>
      <c r="E69" s="7">
        <f>300-300</f>
        <v>0</v>
      </c>
      <c r="F69" s="64"/>
      <c r="G69" s="64"/>
      <c r="H69" s="64"/>
      <c r="I69" s="2">
        <f t="shared" ref="I69:I92" si="11">SUM(C69:H69)</f>
        <v>0</v>
      </c>
    </row>
    <row r="70" spans="2:9" x14ac:dyDescent="0.25">
      <c r="B70" s="14" t="s">
        <v>61</v>
      </c>
      <c r="C70" s="7"/>
      <c r="D70" s="7"/>
      <c r="E70" s="7">
        <f>300+250+50-300-100-15</f>
        <v>185</v>
      </c>
      <c r="F70" s="64"/>
      <c r="G70" s="64"/>
      <c r="H70" s="64"/>
      <c r="I70" s="2">
        <f t="shared" si="11"/>
        <v>185</v>
      </c>
    </row>
    <row r="71" spans="2:9" x14ac:dyDescent="0.25">
      <c r="B71" s="8" t="s">
        <v>62</v>
      </c>
      <c r="C71" s="9"/>
      <c r="D71" s="9"/>
      <c r="E71" s="9">
        <v>480</v>
      </c>
      <c r="F71" s="64"/>
      <c r="G71" s="64"/>
      <c r="H71" s="64"/>
      <c r="I71" s="2">
        <f t="shared" si="11"/>
        <v>480</v>
      </c>
    </row>
    <row r="72" spans="2:9" x14ac:dyDescent="0.25">
      <c r="B72" s="8" t="s">
        <v>63</v>
      </c>
      <c r="C72" s="102">
        <f>3500+150+280</f>
        <v>3930</v>
      </c>
      <c r="D72" s="9"/>
      <c r="E72" s="9"/>
      <c r="F72" s="64"/>
      <c r="G72" s="64"/>
      <c r="H72" s="64"/>
      <c r="I72" s="2">
        <f t="shared" si="11"/>
        <v>3930</v>
      </c>
    </row>
    <row r="73" spans="2:9" x14ac:dyDescent="0.25">
      <c r="B73" s="8" t="s">
        <v>64</v>
      </c>
      <c r="C73" s="104">
        <f>7500-2700+700-500+2820</f>
        <v>7820</v>
      </c>
      <c r="D73" s="73"/>
      <c r="E73" s="9"/>
      <c r="F73" s="64"/>
      <c r="G73" s="64"/>
      <c r="H73" s="64"/>
      <c r="I73" s="2">
        <f t="shared" si="11"/>
        <v>7820</v>
      </c>
    </row>
    <row r="74" spans="2:9" x14ac:dyDescent="0.25">
      <c r="B74" s="8" t="s">
        <v>65</v>
      </c>
      <c r="C74" s="9"/>
      <c r="D74" s="9"/>
      <c r="E74" s="108">
        <f>200+100+150-100</f>
        <v>350</v>
      </c>
      <c r="F74" s="96"/>
      <c r="G74" s="96"/>
      <c r="H74" s="64"/>
      <c r="I74" s="2">
        <f t="shared" si="11"/>
        <v>350</v>
      </c>
    </row>
    <row r="75" spans="2:9" x14ac:dyDescent="0.25">
      <c r="B75" s="8" t="s">
        <v>66</v>
      </c>
      <c r="C75" s="102">
        <f>4800-500+500+380</f>
        <v>5180</v>
      </c>
      <c r="D75" s="9"/>
      <c r="E75" s="73">
        <f>450+250+550+700</f>
        <v>1950</v>
      </c>
      <c r="F75" s="97"/>
      <c r="G75" s="97"/>
      <c r="H75" s="64"/>
      <c r="I75" s="2">
        <f t="shared" si="11"/>
        <v>7130</v>
      </c>
    </row>
    <row r="76" spans="2:9" x14ac:dyDescent="0.25">
      <c r="B76" s="8" t="s">
        <v>67</v>
      </c>
      <c r="C76" s="9"/>
      <c r="D76" s="9"/>
      <c r="E76" s="9">
        <f>400-150-50+100</f>
        <v>300</v>
      </c>
      <c r="F76" s="64"/>
      <c r="G76" s="64"/>
      <c r="H76" s="64"/>
      <c r="I76" s="2">
        <f t="shared" si="11"/>
        <v>300</v>
      </c>
    </row>
    <row r="77" spans="2:9" x14ac:dyDescent="0.25">
      <c r="B77" s="8" t="s">
        <v>68</v>
      </c>
      <c r="C77" s="9"/>
      <c r="D77" s="9"/>
      <c r="E77" s="9">
        <f>100-100</f>
        <v>0</v>
      </c>
      <c r="F77" s="64"/>
      <c r="G77" s="64"/>
      <c r="H77" s="64"/>
      <c r="I77" s="2">
        <f t="shared" si="11"/>
        <v>0</v>
      </c>
    </row>
    <row r="78" spans="2:9" x14ac:dyDescent="0.25">
      <c r="B78" s="8" t="s">
        <v>69</v>
      </c>
      <c r="C78" s="9"/>
      <c r="D78" s="9"/>
      <c r="E78" s="9">
        <v>70</v>
      </c>
      <c r="F78" s="64"/>
      <c r="G78" s="64"/>
      <c r="H78" s="64"/>
      <c r="I78" s="2">
        <f t="shared" si="11"/>
        <v>70</v>
      </c>
    </row>
    <row r="79" spans="2:9" x14ac:dyDescent="0.25">
      <c r="B79" s="8" t="s">
        <v>70</v>
      </c>
      <c r="C79" s="9"/>
      <c r="D79" s="9">
        <v>970</v>
      </c>
      <c r="E79" s="9">
        <v>230</v>
      </c>
      <c r="F79" s="64"/>
      <c r="G79" s="64"/>
      <c r="H79" s="64"/>
      <c r="I79" s="2">
        <f t="shared" si="11"/>
        <v>1200</v>
      </c>
    </row>
    <row r="80" spans="2:9" x14ac:dyDescent="0.25">
      <c r="B80" s="8" t="s">
        <v>71</v>
      </c>
      <c r="C80" s="9"/>
      <c r="D80" s="9"/>
      <c r="E80" s="9">
        <f>100+50</f>
        <v>150</v>
      </c>
      <c r="F80" s="64"/>
      <c r="G80" s="64"/>
      <c r="H80" s="64"/>
      <c r="I80" s="2">
        <f t="shared" si="11"/>
        <v>150</v>
      </c>
    </row>
    <row r="81" spans="2:12" x14ac:dyDescent="0.25">
      <c r="B81" s="8" t="s">
        <v>72</v>
      </c>
      <c r="C81" s="9">
        <f>200-50-30</f>
        <v>120</v>
      </c>
      <c r="D81" s="9"/>
      <c r="E81" s="9"/>
      <c r="F81" s="64"/>
      <c r="G81" s="64"/>
      <c r="H81" s="64"/>
      <c r="I81" s="2">
        <f t="shared" si="11"/>
        <v>120</v>
      </c>
    </row>
    <row r="82" spans="2:12" x14ac:dyDescent="0.25">
      <c r="B82" s="8" t="s">
        <v>73</v>
      </c>
      <c r="C82" s="9"/>
      <c r="D82" s="9">
        <f>60+100+225</f>
        <v>385</v>
      </c>
      <c r="E82" s="9">
        <v>600</v>
      </c>
      <c r="F82" s="64"/>
      <c r="G82" s="64">
        <v>40</v>
      </c>
      <c r="H82" s="64"/>
      <c r="I82" s="2">
        <f t="shared" si="11"/>
        <v>1025</v>
      </c>
    </row>
    <row r="83" spans="2:12" x14ac:dyDescent="0.25">
      <c r="B83" s="8" t="s">
        <v>74</v>
      </c>
      <c r="C83" s="9"/>
      <c r="D83" s="9"/>
      <c r="E83" s="9">
        <v>400</v>
      </c>
      <c r="F83" s="64"/>
      <c r="G83" s="64"/>
      <c r="H83" s="64"/>
      <c r="I83" s="2">
        <f t="shared" si="11"/>
        <v>400</v>
      </c>
    </row>
    <row r="84" spans="2:12" x14ac:dyDescent="0.25">
      <c r="B84" s="8" t="s">
        <v>75</v>
      </c>
      <c r="C84" s="9"/>
      <c r="D84" s="9"/>
      <c r="E84" s="9">
        <v>50</v>
      </c>
      <c r="F84" s="64"/>
      <c r="G84" s="64"/>
      <c r="H84" s="64"/>
      <c r="I84" s="2">
        <f t="shared" si="11"/>
        <v>50</v>
      </c>
    </row>
    <row r="85" spans="2:12" x14ac:dyDescent="0.25">
      <c r="B85" s="8" t="s">
        <v>76</v>
      </c>
      <c r="C85" s="16"/>
      <c r="D85" s="16"/>
      <c r="E85" s="102">
        <f>1000+50+50+100</f>
        <v>1200</v>
      </c>
      <c r="F85" s="64"/>
      <c r="G85" s="64"/>
      <c r="H85" s="64"/>
      <c r="I85" s="2">
        <f t="shared" si="11"/>
        <v>1200</v>
      </c>
    </row>
    <row r="86" spans="2:12" x14ac:dyDescent="0.25">
      <c r="B86" s="15" t="s">
        <v>77</v>
      </c>
      <c r="C86" s="16"/>
      <c r="D86" s="16"/>
      <c r="E86" s="9">
        <f>150-50-50</f>
        <v>50</v>
      </c>
      <c r="F86" s="64"/>
      <c r="G86" s="64"/>
      <c r="H86" s="64"/>
      <c r="I86" s="2">
        <f t="shared" si="11"/>
        <v>50</v>
      </c>
    </row>
    <row r="87" spans="2:12" x14ac:dyDescent="0.25">
      <c r="B87" s="6" t="s">
        <v>78</v>
      </c>
      <c r="C87" s="9"/>
      <c r="D87" s="9"/>
      <c r="E87" s="9">
        <v>1500</v>
      </c>
      <c r="F87" s="64"/>
      <c r="G87" s="64"/>
      <c r="H87" s="64"/>
      <c r="I87" s="2">
        <f t="shared" si="11"/>
        <v>1500</v>
      </c>
    </row>
    <row r="88" spans="2:12" x14ac:dyDescent="0.25">
      <c r="B88" s="8" t="s">
        <v>79</v>
      </c>
      <c r="C88" s="9"/>
      <c r="D88" s="9"/>
      <c r="E88" s="9">
        <f>600-C84252</f>
        <v>600</v>
      </c>
      <c r="F88" s="64"/>
      <c r="G88" s="64"/>
      <c r="H88" s="64"/>
      <c r="I88" s="2">
        <f t="shared" si="11"/>
        <v>600</v>
      </c>
    </row>
    <row r="89" spans="2:12" x14ac:dyDescent="0.25">
      <c r="B89" s="8" t="s">
        <v>80</v>
      </c>
      <c r="C89" s="102">
        <f>5200+500+400-53+200+630</f>
        <v>6877</v>
      </c>
      <c r="D89" s="9"/>
      <c r="E89" s="9"/>
      <c r="F89" s="64"/>
      <c r="G89" s="64"/>
      <c r="H89" s="64"/>
      <c r="I89" s="2">
        <f t="shared" si="11"/>
        <v>6877</v>
      </c>
    </row>
    <row r="90" spans="2:12" x14ac:dyDescent="0.25">
      <c r="B90" s="8" t="s">
        <v>81</v>
      </c>
      <c r="C90" s="9"/>
      <c r="D90" s="9"/>
      <c r="E90" s="9">
        <f>444+100+50+25</f>
        <v>619</v>
      </c>
      <c r="F90" s="64"/>
      <c r="G90" s="64"/>
      <c r="H90" s="64"/>
      <c r="I90" s="2">
        <f t="shared" si="11"/>
        <v>619</v>
      </c>
    </row>
    <row r="91" spans="2:12" x14ac:dyDescent="0.25">
      <c r="B91" s="8" t="s">
        <v>82</v>
      </c>
      <c r="C91" s="9"/>
      <c r="D91" s="9"/>
      <c r="E91" s="9">
        <f>100+50</f>
        <v>150</v>
      </c>
      <c r="F91" s="64"/>
      <c r="G91" s="64"/>
      <c r="H91" s="64"/>
      <c r="I91" s="2">
        <f t="shared" si="11"/>
        <v>150</v>
      </c>
    </row>
    <row r="92" spans="2:12" ht="15.75" thickBot="1" x14ac:dyDescent="0.3">
      <c r="B92" s="12" t="s">
        <v>83</v>
      </c>
      <c r="C92" s="1"/>
      <c r="D92" s="114">
        <f>60+1472+1308+29</f>
        <v>2869</v>
      </c>
      <c r="E92" s="1">
        <f>1800-280+100</f>
        <v>1620</v>
      </c>
      <c r="F92" s="37"/>
      <c r="G92" s="37"/>
      <c r="H92" s="37"/>
      <c r="I92" s="2">
        <f t="shared" si="11"/>
        <v>4489</v>
      </c>
      <c r="L92" s="56"/>
    </row>
    <row r="93" spans="2:12" ht="15.75" thickBot="1" x14ac:dyDescent="0.3">
      <c r="B93" s="41" t="s">
        <v>84</v>
      </c>
      <c r="C93" s="45">
        <f>SUM(C94:C99)</f>
        <v>1340</v>
      </c>
      <c r="D93" s="45"/>
      <c r="E93" s="45">
        <f t="shared" ref="E93:H93" si="12">SUM(E94:E99)</f>
        <v>10100</v>
      </c>
      <c r="F93" s="45">
        <f t="shared" si="12"/>
        <v>1870</v>
      </c>
      <c r="G93" s="45"/>
      <c r="H93" s="45">
        <f t="shared" si="12"/>
        <v>0</v>
      </c>
      <c r="I93" s="45">
        <f>SUM(I94:I99)</f>
        <v>13310</v>
      </c>
      <c r="L93" s="56"/>
    </row>
    <row r="94" spans="2:12" x14ac:dyDescent="0.25">
      <c r="B94" s="6" t="s">
        <v>85</v>
      </c>
      <c r="C94" s="7">
        <f>500-450-25</f>
        <v>25</v>
      </c>
      <c r="D94" s="7"/>
      <c r="E94" s="7">
        <v>50</v>
      </c>
      <c r="F94" s="64"/>
      <c r="G94" s="64"/>
      <c r="H94" s="64"/>
      <c r="I94" s="78">
        <f>SUM(C94:H94)</f>
        <v>75</v>
      </c>
    </row>
    <row r="95" spans="2:12" x14ac:dyDescent="0.25">
      <c r="B95" s="8" t="s">
        <v>86</v>
      </c>
      <c r="C95" s="102">
        <f>600-100-90</f>
        <v>410</v>
      </c>
      <c r="D95" s="9"/>
      <c r="E95" s="9"/>
      <c r="F95" s="64"/>
      <c r="G95" s="64"/>
      <c r="H95" s="64"/>
      <c r="I95" s="9">
        <f t="shared" ref="I95:I99" si="13">SUM(C95:H95)</f>
        <v>410</v>
      </c>
    </row>
    <row r="96" spans="2:12" x14ac:dyDescent="0.25">
      <c r="B96" s="8" t="s">
        <v>157</v>
      </c>
      <c r="C96" s="9"/>
      <c r="D96" s="9"/>
      <c r="E96" s="9">
        <f>2000+800+1000-500-500+500</f>
        <v>3300</v>
      </c>
      <c r="F96" s="64"/>
      <c r="G96" s="64"/>
      <c r="H96" s="64"/>
      <c r="I96" s="9">
        <f t="shared" si="13"/>
        <v>3300</v>
      </c>
    </row>
    <row r="97" spans="2:9" x14ac:dyDescent="0.25">
      <c r="B97" s="8" t="s">
        <v>87</v>
      </c>
      <c r="C97" s="102">
        <f>1000-95</f>
        <v>905</v>
      </c>
      <c r="D97" s="9"/>
      <c r="E97" s="9">
        <f>200+300+500+2000-500+500</f>
        <v>3000</v>
      </c>
      <c r="F97" s="64"/>
      <c r="G97" s="64"/>
      <c r="H97" s="64"/>
      <c r="I97" s="9">
        <f t="shared" si="13"/>
        <v>3905</v>
      </c>
    </row>
    <row r="98" spans="2:9" x14ac:dyDescent="0.25">
      <c r="B98" s="8" t="s">
        <v>88</v>
      </c>
      <c r="C98" s="9"/>
      <c r="D98" s="9"/>
      <c r="E98" s="9">
        <v>50</v>
      </c>
      <c r="F98" s="64"/>
      <c r="G98" s="64"/>
      <c r="H98" s="64"/>
      <c r="I98" s="9">
        <f t="shared" si="13"/>
        <v>50</v>
      </c>
    </row>
    <row r="99" spans="2:9" ht="15.75" thickBot="1" x14ac:dyDescent="0.3">
      <c r="B99" s="12" t="s">
        <v>89</v>
      </c>
      <c r="C99" s="1"/>
      <c r="D99" s="1"/>
      <c r="E99" s="74">
        <f>3500-500+500+200</f>
        <v>3700</v>
      </c>
      <c r="F99" s="98">
        <v>1870</v>
      </c>
      <c r="G99" s="98"/>
      <c r="H99" s="37"/>
      <c r="I99" s="2">
        <f t="shared" si="13"/>
        <v>5570</v>
      </c>
    </row>
    <row r="100" spans="2:9" ht="15.75" thickBot="1" x14ac:dyDescent="0.3">
      <c r="B100" s="41" t="s">
        <v>90</v>
      </c>
      <c r="C100" s="45">
        <f>SUM(C101:C124)</f>
        <v>30540</v>
      </c>
      <c r="D100" s="45"/>
      <c r="E100" s="45">
        <f t="shared" ref="E100:I100" si="14">SUM(E101:E124)</f>
        <v>2060</v>
      </c>
      <c r="F100" s="45">
        <f>SUM(F101:F124)</f>
        <v>500</v>
      </c>
      <c r="G100" s="45"/>
      <c r="H100" s="45">
        <f t="shared" si="14"/>
        <v>0</v>
      </c>
      <c r="I100" s="45">
        <f t="shared" si="14"/>
        <v>33100</v>
      </c>
    </row>
    <row r="101" spans="2:9" x14ac:dyDescent="0.25">
      <c r="B101" s="6" t="s">
        <v>91</v>
      </c>
      <c r="C101" s="128">
        <f>800-600+800</f>
        <v>1000</v>
      </c>
      <c r="D101" s="75"/>
      <c r="E101" s="7"/>
      <c r="F101" s="7"/>
      <c r="G101" s="7"/>
      <c r="H101" s="7"/>
      <c r="I101" s="9">
        <f>SUM(C101:H101)</f>
        <v>1000</v>
      </c>
    </row>
    <row r="102" spans="2:9" x14ac:dyDescent="0.25">
      <c r="B102" s="8" t="s">
        <v>92</v>
      </c>
      <c r="C102" s="73">
        <v>200</v>
      </c>
      <c r="D102" s="73"/>
      <c r="E102" s="9"/>
      <c r="F102" s="9"/>
      <c r="G102" s="9"/>
      <c r="H102" s="9"/>
      <c r="I102" s="9">
        <f t="shared" ref="I102:I124" si="15">SUM(C102:H102)</f>
        <v>200</v>
      </c>
    </row>
    <row r="103" spans="2:9" x14ac:dyDescent="0.25">
      <c r="B103" s="8" t="s">
        <v>149</v>
      </c>
      <c r="C103" s="73">
        <v>1290</v>
      </c>
      <c r="D103" s="73"/>
      <c r="E103" s="9"/>
      <c r="F103" s="9"/>
      <c r="G103" s="9"/>
      <c r="H103" s="9"/>
      <c r="I103" s="9">
        <f t="shared" si="15"/>
        <v>1290</v>
      </c>
    </row>
    <row r="104" spans="2:9" x14ac:dyDescent="0.25">
      <c r="B104" s="8" t="s">
        <v>93</v>
      </c>
      <c r="C104" s="104">
        <f>200+100+100-180</f>
        <v>220</v>
      </c>
      <c r="D104" s="73"/>
      <c r="E104" s="9"/>
      <c r="F104" s="9"/>
      <c r="G104" s="9"/>
      <c r="H104" s="9"/>
      <c r="I104" s="9">
        <f t="shared" si="15"/>
        <v>220</v>
      </c>
    </row>
    <row r="105" spans="2:9" x14ac:dyDescent="0.25">
      <c r="B105" s="8" t="s">
        <v>94</v>
      </c>
      <c r="C105" s="73">
        <f>800+400+320</f>
        <v>1520</v>
      </c>
      <c r="D105" s="73"/>
      <c r="E105" s="9"/>
      <c r="F105" s="9"/>
      <c r="G105" s="9"/>
      <c r="H105" s="9"/>
      <c r="I105" s="9">
        <f t="shared" si="15"/>
        <v>1520</v>
      </c>
    </row>
    <row r="106" spans="2:9" x14ac:dyDescent="0.25">
      <c r="B106" s="8" t="s">
        <v>95</v>
      </c>
      <c r="C106" s="73">
        <f>300+100-100+100</f>
        <v>400</v>
      </c>
      <c r="D106" s="73"/>
      <c r="E106" s="9"/>
      <c r="F106" s="9"/>
      <c r="G106" s="9"/>
      <c r="H106" s="9"/>
      <c r="I106" s="9">
        <f t="shared" si="15"/>
        <v>400</v>
      </c>
    </row>
    <row r="107" spans="2:9" x14ac:dyDescent="0.25">
      <c r="B107" s="8" t="s">
        <v>96</v>
      </c>
      <c r="C107" s="73">
        <f>1250+500+600-500</f>
        <v>1850</v>
      </c>
      <c r="D107" s="73"/>
      <c r="E107" s="9">
        <v>10</v>
      </c>
      <c r="F107" s="9"/>
      <c r="G107" s="9"/>
      <c r="H107" s="9"/>
      <c r="I107" s="9">
        <f t="shared" si="15"/>
        <v>1860</v>
      </c>
    </row>
    <row r="108" spans="2:9" x14ac:dyDescent="0.25">
      <c r="B108" s="8" t="s">
        <v>160</v>
      </c>
      <c r="C108" s="73">
        <v>0</v>
      </c>
      <c r="D108" s="73"/>
      <c r="E108" s="9"/>
      <c r="F108" s="9"/>
      <c r="G108" s="9"/>
      <c r="H108" s="9"/>
      <c r="I108" s="9">
        <f t="shared" si="15"/>
        <v>0</v>
      </c>
    </row>
    <row r="109" spans="2:9" x14ac:dyDescent="0.25">
      <c r="B109" s="8" t="s">
        <v>97</v>
      </c>
      <c r="C109" s="73">
        <f>1200+1100</f>
        <v>2300</v>
      </c>
      <c r="D109" s="73"/>
      <c r="E109" s="9"/>
      <c r="F109" s="9"/>
      <c r="G109" s="9"/>
      <c r="H109" s="9"/>
      <c r="I109" s="9">
        <f t="shared" si="15"/>
        <v>2300</v>
      </c>
    </row>
    <row r="110" spans="2:9" x14ac:dyDescent="0.25">
      <c r="B110" s="8" t="s">
        <v>98</v>
      </c>
      <c r="C110" s="104">
        <f>1200-600+600-600</f>
        <v>600</v>
      </c>
      <c r="D110" s="73"/>
      <c r="E110" s="9"/>
      <c r="F110" s="9"/>
      <c r="G110" s="9"/>
      <c r="H110" s="9"/>
      <c r="I110" s="9">
        <f t="shared" si="15"/>
        <v>600</v>
      </c>
    </row>
    <row r="111" spans="2:9" x14ac:dyDescent="0.25">
      <c r="B111" s="8" t="s">
        <v>99</v>
      </c>
      <c r="C111" s="108">
        <f>5000+1000+1200+600+500+400+460</f>
        <v>9160</v>
      </c>
      <c r="D111" s="9"/>
      <c r="E111" s="9"/>
      <c r="F111" s="9"/>
      <c r="G111" s="9"/>
      <c r="H111" s="9"/>
      <c r="I111" s="9">
        <f t="shared" si="15"/>
        <v>9160</v>
      </c>
    </row>
    <row r="112" spans="2:9" x14ac:dyDescent="0.25">
      <c r="B112" s="8" t="s">
        <v>100</v>
      </c>
      <c r="C112" s="9"/>
      <c r="D112" s="9"/>
      <c r="E112" s="9">
        <v>100</v>
      </c>
      <c r="F112" s="9"/>
      <c r="G112" s="9"/>
      <c r="H112" s="9"/>
      <c r="I112" s="9">
        <f t="shared" si="15"/>
        <v>100</v>
      </c>
    </row>
    <row r="113" spans="2:13" x14ac:dyDescent="0.25">
      <c r="B113" s="8" t="s">
        <v>161</v>
      </c>
      <c r="C113" s="9"/>
      <c r="D113" s="9"/>
      <c r="E113" s="9"/>
      <c r="F113" s="9"/>
      <c r="G113" s="9"/>
      <c r="H113" s="9"/>
      <c r="I113" s="9">
        <f t="shared" si="15"/>
        <v>0</v>
      </c>
    </row>
    <row r="114" spans="2:13" x14ac:dyDescent="0.25">
      <c r="B114" s="8" t="s">
        <v>101</v>
      </c>
      <c r="C114" s="73">
        <f>900+200+600-500+200</f>
        <v>1400</v>
      </c>
      <c r="D114" s="73"/>
      <c r="E114" s="9"/>
      <c r="F114" s="9"/>
      <c r="G114" s="9"/>
      <c r="H114" s="9"/>
      <c r="I114" s="9">
        <f t="shared" si="15"/>
        <v>1400</v>
      </c>
    </row>
    <row r="115" spans="2:13" x14ac:dyDescent="0.25">
      <c r="B115" s="8" t="s">
        <v>102</v>
      </c>
      <c r="C115" s="73">
        <f>1200-200</f>
        <v>1000</v>
      </c>
      <c r="D115" s="73"/>
      <c r="E115" s="9"/>
      <c r="F115" s="9"/>
      <c r="G115" s="9"/>
      <c r="H115" s="9"/>
      <c r="I115" s="9">
        <f t="shared" si="15"/>
        <v>1000</v>
      </c>
    </row>
    <row r="116" spans="2:13" x14ac:dyDescent="0.25">
      <c r="B116" s="8" t="s">
        <v>103</v>
      </c>
      <c r="C116" s="73">
        <f>100-100</f>
        <v>0</v>
      </c>
      <c r="D116" s="73"/>
      <c r="E116" s="9"/>
      <c r="F116" s="9"/>
      <c r="G116" s="9"/>
      <c r="H116" s="9"/>
      <c r="I116" s="9">
        <f t="shared" si="15"/>
        <v>0</v>
      </c>
    </row>
    <row r="117" spans="2:13" x14ac:dyDescent="0.25">
      <c r="B117" s="8" t="s">
        <v>104</v>
      </c>
      <c r="C117" s="9">
        <f>500-100+150</f>
        <v>550</v>
      </c>
      <c r="D117" s="9"/>
      <c r="E117" s="9">
        <f>500+50</f>
        <v>550</v>
      </c>
      <c r="F117" s="9"/>
      <c r="G117" s="9"/>
      <c r="H117" s="9"/>
      <c r="I117" s="9">
        <f t="shared" si="15"/>
        <v>1100</v>
      </c>
    </row>
    <row r="118" spans="2:13" x14ac:dyDescent="0.25">
      <c r="B118" s="8" t="s">
        <v>105</v>
      </c>
      <c r="C118" s="73">
        <f>200-100-30</f>
        <v>70</v>
      </c>
      <c r="D118" s="73"/>
      <c r="E118" s="9"/>
      <c r="F118" s="9"/>
      <c r="G118" s="9"/>
      <c r="H118" s="9"/>
      <c r="I118" s="9">
        <f t="shared" si="15"/>
        <v>70</v>
      </c>
    </row>
    <row r="119" spans="2:13" x14ac:dyDescent="0.25">
      <c r="B119" s="8" t="s">
        <v>106</v>
      </c>
      <c r="C119" s="104">
        <f>1200+780</f>
        <v>1980</v>
      </c>
      <c r="D119" s="73"/>
      <c r="E119" s="9"/>
      <c r="F119" s="9"/>
      <c r="G119" s="9"/>
      <c r="H119" s="9"/>
      <c r="I119" s="9">
        <f t="shared" si="15"/>
        <v>1980</v>
      </c>
    </row>
    <row r="120" spans="2:13" x14ac:dyDescent="0.25">
      <c r="B120" s="8" t="s">
        <v>107</v>
      </c>
      <c r="C120" s="73">
        <f>4100-100-500-100</f>
        <v>3400</v>
      </c>
      <c r="D120" s="104"/>
      <c r="E120" s="9"/>
      <c r="F120" s="9">
        <v>500</v>
      </c>
      <c r="G120" s="9"/>
      <c r="H120" s="9"/>
      <c r="I120" s="9">
        <f t="shared" si="15"/>
        <v>3900</v>
      </c>
    </row>
    <row r="121" spans="2:13" x14ac:dyDescent="0.25">
      <c r="B121" s="23" t="s">
        <v>108</v>
      </c>
      <c r="C121" s="9">
        <f>1850+340+258+64+120-250-300-82+220-100-420+100</f>
        <v>1800</v>
      </c>
      <c r="D121" s="102"/>
      <c r="E121" s="9"/>
      <c r="F121" s="9"/>
      <c r="G121" s="9"/>
      <c r="H121" s="9"/>
      <c r="I121" s="9">
        <f t="shared" si="15"/>
        <v>1800</v>
      </c>
    </row>
    <row r="122" spans="2:13" x14ac:dyDescent="0.25">
      <c r="B122" s="8" t="s">
        <v>109</v>
      </c>
      <c r="C122" s="9">
        <f>900-300</f>
        <v>600</v>
      </c>
      <c r="D122" s="9"/>
      <c r="E122" s="9"/>
      <c r="F122" s="9"/>
      <c r="G122" s="9"/>
      <c r="H122" s="9"/>
      <c r="I122" s="9">
        <f t="shared" si="15"/>
        <v>600</v>
      </c>
    </row>
    <row r="123" spans="2:13" x14ac:dyDescent="0.25">
      <c r="B123" s="8" t="s">
        <v>110</v>
      </c>
      <c r="C123" s="9"/>
      <c r="D123" s="9"/>
      <c r="E123" s="9">
        <f>1200+200</f>
        <v>1400</v>
      </c>
      <c r="F123" s="9"/>
      <c r="G123" s="9"/>
      <c r="H123" s="9"/>
      <c r="I123" s="9">
        <f t="shared" si="15"/>
        <v>1400</v>
      </c>
      <c r="M123" s="56"/>
    </row>
    <row r="124" spans="2:13" ht="15.75" thickBot="1" x14ac:dyDescent="0.3">
      <c r="B124" s="12" t="s">
        <v>111</v>
      </c>
      <c r="C124" s="36">
        <f>800+100+300</f>
        <v>1200</v>
      </c>
      <c r="D124" s="36"/>
      <c r="E124" s="1"/>
      <c r="F124" s="1"/>
      <c r="G124" s="1"/>
      <c r="H124" s="36"/>
      <c r="I124" s="9">
        <f t="shared" si="15"/>
        <v>1200</v>
      </c>
    </row>
    <row r="125" spans="2:13" ht="15.75" thickBot="1" x14ac:dyDescent="0.3">
      <c r="B125" s="41" t="s">
        <v>112</v>
      </c>
      <c r="C125" s="45">
        <f>SUM(C126:C146)</f>
        <v>220369</v>
      </c>
      <c r="D125" s="45">
        <f>SUM(D126:D146)</f>
        <v>5627</v>
      </c>
      <c r="E125" s="45">
        <f t="shared" ref="E125" si="16">SUM(E126:E146)</f>
        <v>6070</v>
      </c>
      <c r="F125" s="45"/>
      <c r="G125" s="45"/>
      <c r="H125" s="45"/>
      <c r="I125" s="45">
        <f>SUM(I126:I146)</f>
        <v>232066</v>
      </c>
      <c r="M125" s="56"/>
    </row>
    <row r="126" spans="2:13" x14ac:dyDescent="0.25">
      <c r="B126" s="6" t="s">
        <v>113</v>
      </c>
      <c r="C126" s="7">
        <f>5700+600+400+2000-200</f>
        <v>8500</v>
      </c>
      <c r="D126" s="7"/>
      <c r="E126" s="7">
        <v>150</v>
      </c>
      <c r="F126" s="7"/>
      <c r="G126" s="7"/>
      <c r="H126" s="7"/>
      <c r="I126" s="9">
        <f>SUM(C126:H126)</f>
        <v>8650</v>
      </c>
    </row>
    <row r="127" spans="2:13" x14ac:dyDescent="0.25">
      <c r="B127" s="8" t="s">
        <v>114</v>
      </c>
      <c r="C127" s="73">
        <f>350-200-50</f>
        <v>100</v>
      </c>
      <c r="D127" s="73"/>
      <c r="E127" s="9"/>
      <c r="F127" s="9"/>
      <c r="G127" s="9"/>
      <c r="H127" s="9"/>
      <c r="I127" s="9">
        <f t="shared" ref="I127:I146" si="17">SUM(C127:H127)</f>
        <v>100</v>
      </c>
    </row>
    <row r="128" spans="2:13" x14ac:dyDescent="0.25">
      <c r="B128" s="8" t="s">
        <v>162</v>
      </c>
      <c r="C128" s="73">
        <f>100+1100</f>
        <v>1200</v>
      </c>
      <c r="D128" s="73"/>
      <c r="E128" s="9"/>
      <c r="F128" s="9"/>
      <c r="G128" s="9"/>
      <c r="H128" s="9"/>
      <c r="I128" s="9">
        <f t="shared" si="17"/>
        <v>1200</v>
      </c>
    </row>
    <row r="129" spans="2:9" x14ac:dyDescent="0.25">
      <c r="B129" s="8" t="s">
        <v>115</v>
      </c>
      <c r="C129" s="73">
        <f>700</f>
        <v>700</v>
      </c>
      <c r="D129" s="73"/>
      <c r="E129" s="9"/>
      <c r="F129" s="9"/>
      <c r="G129" s="9"/>
      <c r="H129" s="9"/>
      <c r="I129" s="9">
        <f t="shared" si="17"/>
        <v>700</v>
      </c>
    </row>
    <row r="130" spans="2:9" x14ac:dyDescent="0.25">
      <c r="B130" s="8" t="s">
        <v>116</v>
      </c>
      <c r="C130" s="9"/>
      <c r="D130" s="9"/>
      <c r="E130" s="9">
        <v>20</v>
      </c>
      <c r="F130" s="9"/>
      <c r="G130" s="9"/>
      <c r="H130" s="9"/>
      <c r="I130" s="9">
        <f t="shared" si="17"/>
        <v>20</v>
      </c>
    </row>
    <row r="131" spans="2:9" x14ac:dyDescent="0.25">
      <c r="B131" s="8" t="s">
        <v>117</v>
      </c>
      <c r="C131" s="9"/>
      <c r="D131" s="9"/>
      <c r="E131" s="9">
        <v>200</v>
      </c>
      <c r="F131" s="9"/>
      <c r="G131" s="9"/>
      <c r="H131" s="9"/>
      <c r="I131" s="9">
        <f t="shared" si="17"/>
        <v>200</v>
      </c>
    </row>
    <row r="132" spans="2:9" x14ac:dyDescent="0.25">
      <c r="B132" s="8" t="s">
        <v>118</v>
      </c>
      <c r="C132" s="9"/>
      <c r="D132" s="9"/>
      <c r="E132" s="9">
        <f>500+100</f>
        <v>600</v>
      </c>
      <c r="F132" s="9"/>
      <c r="G132" s="9"/>
      <c r="H132" s="9"/>
      <c r="I132" s="9">
        <f t="shared" si="17"/>
        <v>600</v>
      </c>
    </row>
    <row r="133" spans="2:9" x14ac:dyDescent="0.25">
      <c r="B133" s="8" t="s">
        <v>119</v>
      </c>
      <c r="C133" s="73">
        <f>8500+1500+72+965-1000+723+2000</f>
        <v>12760</v>
      </c>
      <c r="D133" s="73"/>
      <c r="E133" s="9">
        <v>1000</v>
      </c>
      <c r="F133" s="9"/>
      <c r="G133" s="9"/>
      <c r="H133" s="9"/>
      <c r="I133" s="9">
        <f t="shared" si="17"/>
        <v>13760</v>
      </c>
    </row>
    <row r="134" spans="2:9" x14ac:dyDescent="0.25">
      <c r="B134" s="8" t="s">
        <v>163</v>
      </c>
      <c r="C134" s="9">
        <f>900-50</f>
        <v>850</v>
      </c>
      <c r="D134" s="9"/>
      <c r="E134" s="9"/>
      <c r="F134" s="9"/>
      <c r="G134" s="9"/>
      <c r="H134" s="9"/>
      <c r="I134" s="9">
        <f t="shared" si="17"/>
        <v>850</v>
      </c>
    </row>
    <row r="135" spans="2:9" x14ac:dyDescent="0.25">
      <c r="B135" s="8" t="s">
        <v>120</v>
      </c>
      <c r="C135" s="9">
        <v>1200</v>
      </c>
      <c r="D135" s="9"/>
      <c r="E135" s="9"/>
      <c r="F135" s="9"/>
      <c r="G135" s="9"/>
      <c r="H135" s="9"/>
      <c r="I135" s="9">
        <f t="shared" si="17"/>
        <v>1200</v>
      </c>
    </row>
    <row r="136" spans="2:9" x14ac:dyDescent="0.25">
      <c r="B136" s="23" t="s">
        <v>121</v>
      </c>
      <c r="C136" s="73">
        <f>21800+5000+5700+4714</f>
        <v>37214</v>
      </c>
      <c r="D136" s="73"/>
      <c r="E136" s="9">
        <f>1000-200+100</f>
        <v>900</v>
      </c>
      <c r="F136" s="9"/>
      <c r="G136" s="9"/>
      <c r="H136" s="9"/>
      <c r="I136" s="9">
        <f t="shared" si="17"/>
        <v>38114</v>
      </c>
    </row>
    <row r="137" spans="2:9" x14ac:dyDescent="0.25">
      <c r="B137" s="8" t="s">
        <v>122</v>
      </c>
      <c r="C137" s="66">
        <f>53648+7892</f>
        <v>61540</v>
      </c>
      <c r="D137" s="66"/>
      <c r="E137" s="9">
        <f>1000-200-200</f>
        <v>600</v>
      </c>
      <c r="F137" s="9"/>
      <c r="G137" s="9"/>
      <c r="H137" s="66"/>
      <c r="I137" s="9">
        <f t="shared" si="17"/>
        <v>62140</v>
      </c>
    </row>
    <row r="138" spans="2:9" x14ac:dyDescent="0.25">
      <c r="B138" s="8" t="s">
        <v>158</v>
      </c>
      <c r="C138" s="143">
        <f>33077+3200+29000+10916+8000</f>
        <v>84193</v>
      </c>
      <c r="D138" s="66"/>
      <c r="E138" s="9">
        <v>500</v>
      </c>
      <c r="F138" s="9"/>
      <c r="G138" s="9"/>
      <c r="H138" s="9"/>
      <c r="I138" s="9">
        <f t="shared" si="17"/>
        <v>84693</v>
      </c>
    </row>
    <row r="139" spans="2:9" x14ac:dyDescent="0.25">
      <c r="B139" s="8" t="s">
        <v>123</v>
      </c>
      <c r="C139" s="141">
        <f>1200-450+28+15</f>
        <v>793</v>
      </c>
      <c r="D139" s="90">
        <v>64</v>
      </c>
      <c r="E139" s="90">
        <f>1000-500+500+200-200</f>
        <v>1000</v>
      </c>
      <c r="F139" s="90"/>
      <c r="G139" s="90"/>
      <c r="H139" s="13"/>
      <c r="I139" s="9">
        <f t="shared" si="17"/>
        <v>1857</v>
      </c>
    </row>
    <row r="140" spans="2:9" x14ac:dyDescent="0.25">
      <c r="B140" s="8" t="s">
        <v>124</v>
      </c>
      <c r="C140" s="102">
        <f>3100+400+100+909</f>
        <v>4509</v>
      </c>
      <c r="D140" s="9"/>
      <c r="E140" s="9"/>
      <c r="F140" s="9"/>
      <c r="G140" s="9"/>
      <c r="H140" s="9"/>
      <c r="I140" s="9">
        <f t="shared" si="17"/>
        <v>4509</v>
      </c>
    </row>
    <row r="141" spans="2:9" x14ac:dyDescent="0.25">
      <c r="B141" s="8" t="s">
        <v>125</v>
      </c>
      <c r="C141" s="9">
        <f>1800-600+400-400</f>
        <v>1200</v>
      </c>
      <c r="D141" s="9"/>
      <c r="E141" s="9"/>
      <c r="F141" s="9"/>
      <c r="G141" s="9"/>
      <c r="H141" s="9"/>
      <c r="I141" s="9">
        <f t="shared" si="17"/>
        <v>1200</v>
      </c>
    </row>
    <row r="142" spans="2:9" x14ac:dyDescent="0.25">
      <c r="B142" s="8" t="s">
        <v>164</v>
      </c>
      <c r="C142" s="9">
        <f>166-38-100-28</f>
        <v>0</v>
      </c>
      <c r="D142" s="9"/>
      <c r="E142" s="9"/>
      <c r="F142" s="9"/>
      <c r="G142" s="9"/>
      <c r="H142" s="9"/>
      <c r="I142" s="9">
        <f t="shared" si="17"/>
        <v>0</v>
      </c>
    </row>
    <row r="143" spans="2:9" x14ac:dyDescent="0.25">
      <c r="B143" s="8" t="s">
        <v>126</v>
      </c>
      <c r="C143" s="102">
        <f>1200+300-110-60</f>
        <v>1330</v>
      </c>
      <c r="D143" s="9"/>
      <c r="E143" s="9">
        <f>100+100-100</f>
        <v>100</v>
      </c>
      <c r="F143" s="9"/>
      <c r="G143" s="9"/>
      <c r="H143" s="9"/>
      <c r="I143" s="9">
        <f t="shared" si="17"/>
        <v>1430</v>
      </c>
    </row>
    <row r="144" spans="2:9" x14ac:dyDescent="0.25">
      <c r="B144" s="8" t="s">
        <v>127</v>
      </c>
      <c r="C144" s="102">
        <f>1600-20</f>
        <v>1580</v>
      </c>
      <c r="D144" s="9"/>
      <c r="E144" s="9"/>
      <c r="F144" s="9"/>
      <c r="G144" s="9"/>
      <c r="H144" s="9"/>
      <c r="I144" s="9">
        <f t="shared" si="17"/>
        <v>1580</v>
      </c>
    </row>
    <row r="145" spans="2:9" x14ac:dyDescent="0.25">
      <c r="B145" s="8" t="s">
        <v>128</v>
      </c>
      <c r="C145" s="66">
        <f>400-100+2400</f>
        <v>2700</v>
      </c>
      <c r="D145" s="66">
        <v>5500</v>
      </c>
      <c r="E145" s="9">
        <v>100</v>
      </c>
      <c r="F145" s="9"/>
      <c r="G145" s="9"/>
      <c r="H145" s="9"/>
      <c r="I145" s="9">
        <f>SUM(C145:H145)</f>
        <v>8300</v>
      </c>
    </row>
    <row r="146" spans="2:9" ht="15.75" thickBot="1" x14ac:dyDescent="0.3">
      <c r="B146" s="17" t="s">
        <v>129</v>
      </c>
      <c r="C146" s="1"/>
      <c r="D146" s="1">
        <f>39+24</f>
        <v>63</v>
      </c>
      <c r="E146" s="1">
        <f>600+200+100</f>
        <v>900</v>
      </c>
      <c r="F146" s="1"/>
      <c r="G146" s="1"/>
      <c r="H146" s="1"/>
      <c r="I146" s="9">
        <f t="shared" si="17"/>
        <v>963</v>
      </c>
    </row>
    <row r="147" spans="2:9" ht="15.75" thickBot="1" x14ac:dyDescent="0.3">
      <c r="B147" s="46" t="s">
        <v>152</v>
      </c>
      <c r="C147" s="113"/>
      <c r="D147" s="44"/>
      <c r="E147" s="131">
        <v>1985</v>
      </c>
      <c r="F147" s="44"/>
      <c r="G147" s="133"/>
      <c r="H147" s="44"/>
      <c r="I147" s="72">
        <f>SUM(C147:H147)</f>
        <v>1985</v>
      </c>
    </row>
    <row r="148" spans="2:9" ht="15.75" thickBot="1" x14ac:dyDescent="0.3">
      <c r="B148" s="52" t="s">
        <v>130</v>
      </c>
      <c r="C148" s="44"/>
      <c r="D148" s="44"/>
      <c r="E148" s="132">
        <f>1500+1500+200+500</f>
        <v>3700</v>
      </c>
      <c r="F148" s="44"/>
      <c r="G148" s="44"/>
      <c r="H148" s="134"/>
      <c r="I148" s="72">
        <f t="shared" ref="I148" si="18">SUM(C148:H148)</f>
        <v>3700</v>
      </c>
    </row>
    <row r="149" spans="2:9" ht="15.75" thickBot="1" x14ac:dyDescent="0.3">
      <c r="B149" s="47" t="s">
        <v>151</v>
      </c>
      <c r="C149" s="65">
        <f>SUM(C150:C153)</f>
        <v>1800</v>
      </c>
      <c r="D149" s="44"/>
      <c r="E149" s="86">
        <f t="shared" ref="E149:G149" si="19">SUM(E150:E153)</f>
        <v>975</v>
      </c>
      <c r="F149" s="86">
        <f t="shared" si="19"/>
        <v>0</v>
      </c>
      <c r="G149" s="86">
        <f t="shared" si="19"/>
        <v>0</v>
      </c>
      <c r="H149" s="84"/>
      <c r="I149" s="72">
        <f>SUM(I150:I153)</f>
        <v>2775</v>
      </c>
    </row>
    <row r="150" spans="2:9" x14ac:dyDescent="0.25">
      <c r="B150" s="6" t="s">
        <v>131</v>
      </c>
      <c r="C150" s="124">
        <f>1800-250</f>
        <v>1550</v>
      </c>
      <c r="D150" s="7"/>
      <c r="E150" s="7"/>
      <c r="F150" s="7"/>
      <c r="G150" s="7"/>
      <c r="H150" s="7"/>
      <c r="I150" s="9">
        <f>SUM(C150:E150)</f>
        <v>1550</v>
      </c>
    </row>
    <row r="151" spans="2:9" x14ac:dyDescent="0.25">
      <c r="B151" s="8" t="s">
        <v>132</v>
      </c>
      <c r="C151" s="9"/>
      <c r="D151" s="9"/>
      <c r="E151" s="9">
        <f>100+375</f>
        <v>475</v>
      </c>
      <c r="F151" s="102"/>
      <c r="G151" s="9"/>
      <c r="H151" s="9"/>
      <c r="I151" s="9">
        <f>SUM(C151:H151)</f>
        <v>475</v>
      </c>
    </row>
    <row r="152" spans="2:9" x14ac:dyDescent="0.25">
      <c r="B152" s="12" t="s">
        <v>133</v>
      </c>
      <c r="C152" s="102">
        <f>200+50</f>
        <v>250</v>
      </c>
      <c r="D152" s="9"/>
      <c r="E152" s="9">
        <f>300+100</f>
        <v>400</v>
      </c>
      <c r="F152" s="9"/>
      <c r="G152" s="9"/>
      <c r="H152" s="9"/>
      <c r="I152" s="9">
        <f t="shared" ref="I152:I153" si="20">SUM(C152:E152)</f>
        <v>650</v>
      </c>
    </row>
    <row r="153" spans="2:9" ht="15.75" thickBot="1" x14ac:dyDescent="0.3">
      <c r="B153" s="18" t="s">
        <v>134</v>
      </c>
      <c r="C153" s="1"/>
      <c r="D153" s="1"/>
      <c r="E153" s="1">
        <v>100</v>
      </c>
      <c r="F153" s="1"/>
      <c r="G153" s="1"/>
      <c r="H153" s="1"/>
      <c r="I153" s="9">
        <f t="shared" si="20"/>
        <v>100</v>
      </c>
    </row>
    <row r="154" spans="2:9" ht="15.75" thickBot="1" x14ac:dyDescent="0.3">
      <c r="B154" s="50" t="s">
        <v>150</v>
      </c>
      <c r="C154" s="42"/>
      <c r="D154" s="43"/>
      <c r="E154" s="43">
        <f>1000-100+100</f>
        <v>1000</v>
      </c>
      <c r="F154" s="43"/>
      <c r="G154" s="43"/>
      <c r="H154" s="82"/>
      <c r="I154" s="44">
        <f>SUM(C154:E154)</f>
        <v>1000</v>
      </c>
    </row>
    <row r="155" spans="2:9" ht="15.75" thickBot="1" x14ac:dyDescent="0.3">
      <c r="B155" s="41" t="s">
        <v>135</v>
      </c>
      <c r="C155" s="42"/>
      <c r="D155" s="43"/>
      <c r="E155" s="43">
        <f>200+400+100-200+300</f>
        <v>800</v>
      </c>
      <c r="F155" s="43"/>
      <c r="G155" s="43"/>
      <c r="H155" s="82"/>
      <c r="I155" s="44">
        <f>SUM(C155:E155)</f>
        <v>800</v>
      </c>
    </row>
    <row r="156" spans="2:9" ht="16.5" thickBot="1" x14ac:dyDescent="0.3">
      <c r="B156" s="29" t="s">
        <v>136</v>
      </c>
      <c r="C156" s="30">
        <f t="shared" ref="C156:H156" si="21">SUM(C20,C21,C22,C30,C33,C58,C68,C93,C100,C125,C147,C148,C149,C154,C155,C23)</f>
        <v>2779452</v>
      </c>
      <c r="D156" s="30">
        <f t="shared" si="21"/>
        <v>17473</v>
      </c>
      <c r="E156" s="30">
        <f t="shared" si="21"/>
        <v>78730</v>
      </c>
      <c r="F156" s="30">
        <f t="shared" si="21"/>
        <v>2551</v>
      </c>
      <c r="G156" s="30">
        <f t="shared" si="21"/>
        <v>40</v>
      </c>
      <c r="H156" s="30">
        <f t="shared" si="21"/>
        <v>288</v>
      </c>
      <c r="I156" s="30">
        <f>SUM(I20,I21,I22,I23,I30,I33,I58,I68,I93,I100,I125,I147,I148,I149,I154,I155)</f>
        <v>2878534</v>
      </c>
    </row>
    <row r="157" spans="2:9" x14ac:dyDescent="0.25">
      <c r="B157" s="19" t="s">
        <v>166</v>
      </c>
      <c r="C157" s="20"/>
      <c r="D157" s="20"/>
      <c r="E157" s="9"/>
      <c r="F157" s="64"/>
      <c r="G157" s="64"/>
      <c r="H157" s="77"/>
      <c r="I157" s="2">
        <f>SUM(C157:H157)</f>
        <v>0</v>
      </c>
    </row>
    <row r="158" spans="2:9" x14ac:dyDescent="0.25">
      <c r="B158" s="19" t="s">
        <v>137</v>
      </c>
      <c r="C158" s="20"/>
      <c r="D158" s="20"/>
      <c r="E158" s="9"/>
      <c r="F158" s="64"/>
      <c r="G158" s="64"/>
      <c r="H158" s="77">
        <v>2797</v>
      </c>
      <c r="I158" s="2">
        <f t="shared" ref="I158:I171" si="22">SUM(C158:H158)</f>
        <v>2797</v>
      </c>
    </row>
    <row r="159" spans="2:9" x14ac:dyDescent="0.25">
      <c r="B159" s="19" t="s">
        <v>156</v>
      </c>
      <c r="C159" s="20"/>
      <c r="D159" s="20">
        <v>4000</v>
      </c>
      <c r="E159" s="9"/>
      <c r="F159" s="64"/>
      <c r="G159" s="64"/>
      <c r="H159" s="77"/>
      <c r="I159" s="2">
        <f t="shared" si="22"/>
        <v>4000</v>
      </c>
    </row>
    <row r="160" spans="2:9" x14ac:dyDescent="0.25">
      <c r="B160" s="21" t="s">
        <v>138</v>
      </c>
      <c r="C160" s="20"/>
      <c r="D160" s="20"/>
      <c r="E160" s="9"/>
      <c r="F160" s="64"/>
      <c r="G160" s="64"/>
      <c r="H160" s="77"/>
      <c r="I160" s="2">
        <f t="shared" si="22"/>
        <v>0</v>
      </c>
    </row>
    <row r="161" spans="1:13" x14ac:dyDescent="0.25">
      <c r="B161" s="21" t="s">
        <v>175</v>
      </c>
      <c r="C161" s="20"/>
      <c r="D161" s="20"/>
      <c r="E161" s="9"/>
      <c r="F161" s="64"/>
      <c r="G161" s="64"/>
      <c r="H161" s="77"/>
      <c r="I161" s="2">
        <f t="shared" si="22"/>
        <v>0</v>
      </c>
    </row>
    <row r="162" spans="1:13" x14ac:dyDescent="0.25">
      <c r="B162" s="21" t="s">
        <v>200</v>
      </c>
      <c r="C162" s="20"/>
      <c r="D162" s="20"/>
      <c r="E162" s="9"/>
      <c r="F162" s="64">
        <v>4000</v>
      </c>
      <c r="G162" s="64"/>
      <c r="H162" s="77"/>
      <c r="I162" s="2">
        <f t="shared" si="22"/>
        <v>4000</v>
      </c>
    </row>
    <row r="163" spans="1:13" x14ac:dyDescent="0.25">
      <c r="B163" s="21" t="s">
        <v>140</v>
      </c>
      <c r="C163" s="20"/>
      <c r="D163" s="20">
        <v>23084</v>
      </c>
      <c r="E163" s="9">
        <f>200-100-50</f>
        <v>50</v>
      </c>
      <c r="F163" s="64"/>
      <c r="G163" s="64"/>
      <c r="H163" s="77"/>
      <c r="I163" s="2">
        <f t="shared" si="22"/>
        <v>23134</v>
      </c>
    </row>
    <row r="164" spans="1:13" x14ac:dyDescent="0.25">
      <c r="B164" s="19" t="s">
        <v>141</v>
      </c>
      <c r="C164" s="20"/>
      <c r="D164" s="20">
        <f>34727+3510</f>
        <v>38237</v>
      </c>
      <c r="E164" s="9">
        <f>600-200</f>
        <v>400</v>
      </c>
      <c r="F164" s="64"/>
      <c r="G164" s="64"/>
      <c r="H164" s="77"/>
      <c r="I164" s="2">
        <f t="shared" si="22"/>
        <v>38637</v>
      </c>
    </row>
    <row r="165" spans="1:13" x14ac:dyDescent="0.25">
      <c r="B165" s="21" t="s">
        <v>142</v>
      </c>
      <c r="C165" s="20"/>
      <c r="D165" s="20">
        <v>500</v>
      </c>
      <c r="E165" s="9">
        <f>400+200+150+100+200+20+100+50</f>
        <v>1220</v>
      </c>
      <c r="F165" s="64">
        <v>729</v>
      </c>
      <c r="G165" s="64"/>
      <c r="H165" s="77"/>
      <c r="I165" s="2">
        <f t="shared" si="22"/>
        <v>2449</v>
      </c>
      <c r="L165" s="56"/>
    </row>
    <row r="166" spans="1:13" x14ac:dyDescent="0.25">
      <c r="B166" s="21" t="s">
        <v>176</v>
      </c>
      <c r="C166" s="20"/>
      <c r="D166" s="20">
        <v>528</v>
      </c>
      <c r="E166" s="9">
        <f>15+20</f>
        <v>35</v>
      </c>
      <c r="F166" s="64"/>
      <c r="G166" s="64"/>
      <c r="H166" s="77"/>
      <c r="I166" s="2">
        <f t="shared" si="22"/>
        <v>563</v>
      </c>
    </row>
    <row r="167" spans="1:13" x14ac:dyDescent="0.25">
      <c r="B167" s="19" t="s">
        <v>143</v>
      </c>
      <c r="C167" s="20"/>
      <c r="D167" s="20"/>
      <c r="E167" s="9">
        <f>300-150+100+300+50</f>
        <v>600</v>
      </c>
      <c r="F167" s="64"/>
      <c r="G167" s="64"/>
      <c r="H167" s="77"/>
      <c r="I167" s="2">
        <f t="shared" si="22"/>
        <v>600</v>
      </c>
    </row>
    <row r="168" spans="1:13" x14ac:dyDescent="0.25">
      <c r="B168" s="22" t="s">
        <v>144</v>
      </c>
      <c r="C168" s="20"/>
      <c r="D168" s="20">
        <f>22200+34372+4500</f>
        <v>61072</v>
      </c>
      <c r="E168" s="9">
        <v>500</v>
      </c>
      <c r="F168" s="64"/>
      <c r="G168" s="64">
        <v>14708</v>
      </c>
      <c r="H168" s="77"/>
      <c r="I168" s="2">
        <f t="shared" si="22"/>
        <v>76280</v>
      </c>
    </row>
    <row r="169" spans="1:13" x14ac:dyDescent="0.25">
      <c r="B169" s="19" t="s">
        <v>145</v>
      </c>
      <c r="C169" s="20"/>
      <c r="D169" s="20"/>
      <c r="E169" s="9">
        <v>0</v>
      </c>
      <c r="F169" s="64"/>
      <c r="G169" s="64"/>
      <c r="H169" s="77"/>
      <c r="I169" s="2">
        <f t="shared" si="22"/>
        <v>0</v>
      </c>
    </row>
    <row r="170" spans="1:13" x14ac:dyDescent="0.25">
      <c r="B170" s="19" t="s">
        <v>168</v>
      </c>
      <c r="C170" s="20"/>
      <c r="D170" s="20"/>
      <c r="E170" s="9">
        <f>200-100</f>
        <v>100</v>
      </c>
      <c r="F170" s="64"/>
      <c r="G170" s="64"/>
      <c r="H170" s="77"/>
      <c r="I170" s="2">
        <f t="shared" si="22"/>
        <v>100</v>
      </c>
    </row>
    <row r="171" spans="1:13" ht="15.75" thickBot="1" x14ac:dyDescent="0.3">
      <c r="B171" s="19" t="s">
        <v>146</v>
      </c>
      <c r="C171" s="20"/>
      <c r="D171" s="20"/>
      <c r="E171" s="9">
        <v>50</v>
      </c>
      <c r="F171" s="64"/>
      <c r="G171" s="64"/>
      <c r="H171" s="77"/>
      <c r="I171" s="2">
        <f t="shared" si="22"/>
        <v>50</v>
      </c>
    </row>
    <row r="172" spans="1:13" ht="13.5" customHeight="1" thickBot="1" x14ac:dyDescent="0.3">
      <c r="B172" s="29" t="s">
        <v>147</v>
      </c>
      <c r="C172" s="30">
        <f t="shared" ref="C172:I172" si="23">SUM(C157:C171)</f>
        <v>0</v>
      </c>
      <c r="D172" s="30">
        <f t="shared" si="23"/>
        <v>127421</v>
      </c>
      <c r="E172" s="30">
        <f>SUM(E157:E171)</f>
        <v>2955</v>
      </c>
      <c r="F172" s="30">
        <f t="shared" si="23"/>
        <v>4729</v>
      </c>
      <c r="G172" s="30">
        <f t="shared" si="23"/>
        <v>14708</v>
      </c>
      <c r="H172" s="30">
        <f t="shared" si="23"/>
        <v>2797</v>
      </c>
      <c r="I172" s="30">
        <f t="shared" si="23"/>
        <v>152610</v>
      </c>
    </row>
    <row r="173" spans="1:13" ht="16.5" customHeight="1" thickBot="1" x14ac:dyDescent="0.3">
      <c r="B173" s="34" t="s">
        <v>148</v>
      </c>
      <c r="C173" s="35">
        <f t="shared" ref="C173:H173" si="24">C156+C172</f>
        <v>2779452</v>
      </c>
      <c r="D173" s="35">
        <f t="shared" si="24"/>
        <v>144894</v>
      </c>
      <c r="E173" s="35">
        <f t="shared" si="24"/>
        <v>81685</v>
      </c>
      <c r="F173" s="35">
        <f>F156+F172</f>
        <v>7280</v>
      </c>
      <c r="G173" s="35">
        <f>G156+G172</f>
        <v>14748</v>
      </c>
      <c r="H173" s="35">
        <f t="shared" si="24"/>
        <v>3085</v>
      </c>
      <c r="I173" s="35">
        <f>I156+I172</f>
        <v>3031144</v>
      </c>
      <c r="M173" s="56"/>
    </row>
    <row r="174" spans="1:13" ht="110.25" customHeight="1" x14ac:dyDescent="0.25">
      <c r="A174" s="89"/>
      <c r="B174" s="146" t="s">
        <v>226</v>
      </c>
      <c r="C174" s="146"/>
      <c r="D174" s="146"/>
      <c r="E174" s="146"/>
      <c r="F174" s="146"/>
      <c r="G174" s="146"/>
      <c r="H174" s="146"/>
      <c r="I174" s="146"/>
    </row>
    <row r="175" spans="1:13" ht="15" customHeight="1" x14ac:dyDescent="0.25">
      <c r="E175" s="147" t="s">
        <v>179</v>
      </c>
      <c r="F175" s="147"/>
      <c r="G175" s="147"/>
      <c r="H175" s="147"/>
      <c r="I175" s="147"/>
    </row>
    <row r="176" spans="1:13" ht="1.5" hidden="1" customHeight="1" x14ac:dyDescent="0.25">
      <c r="E176" s="147" t="s">
        <v>180</v>
      </c>
      <c r="F176" s="147"/>
      <c r="G176" s="147"/>
      <c r="H176" s="147"/>
      <c r="I176" s="147"/>
    </row>
    <row r="177" spans="3:9" hidden="1" x14ac:dyDescent="0.25">
      <c r="C177" s="56"/>
      <c r="D177" s="56"/>
      <c r="E177" s="147"/>
      <c r="F177" s="147"/>
      <c r="G177" s="147"/>
      <c r="H177" s="147"/>
      <c r="I177" s="147"/>
    </row>
  </sheetData>
  <mergeCells count="5">
    <mergeCell ref="B2:I2"/>
    <mergeCell ref="B3:I3"/>
    <mergeCell ref="B174:I174"/>
    <mergeCell ref="E175:I175"/>
    <mergeCell ref="E176:I177"/>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6"/>
  <sheetViews>
    <sheetView zoomScale="110" zoomScaleNormal="110" workbookViewId="0">
      <selection activeCell="B5" sqref="B5:B173"/>
    </sheetView>
  </sheetViews>
  <sheetFormatPr defaultRowHeight="15" x14ac:dyDescent="0.25"/>
  <cols>
    <col min="1" max="1" width="54.7109375" customWidth="1"/>
    <col min="2" max="2" width="13.5703125" customWidth="1"/>
    <col min="3" max="3" width="12.7109375" customWidth="1"/>
  </cols>
  <sheetData>
    <row r="2" spans="1:3" x14ac:dyDescent="0.25">
      <c r="A2" s="148" t="s">
        <v>0</v>
      </c>
      <c r="B2" s="148"/>
      <c r="C2" s="148"/>
    </row>
    <row r="3" spans="1:3" x14ac:dyDescent="0.25">
      <c r="A3" s="149" t="s">
        <v>225</v>
      </c>
      <c r="B3" s="149"/>
      <c r="C3" s="149"/>
    </row>
    <row r="4" spans="1:3" ht="15.75" thickBot="1" x14ac:dyDescent="0.3">
      <c r="A4" s="59"/>
      <c r="B4" s="5" t="s">
        <v>1</v>
      </c>
      <c r="C4" s="138"/>
    </row>
    <row r="5" spans="1:3" ht="43.5" thickBot="1" x14ac:dyDescent="0.3">
      <c r="A5" s="24" t="s">
        <v>2</v>
      </c>
      <c r="B5" s="25" t="s">
        <v>5</v>
      </c>
      <c r="C5" s="57" t="s">
        <v>154</v>
      </c>
    </row>
    <row r="6" spans="1:3" ht="15.75" x14ac:dyDescent="0.25">
      <c r="A6" s="26" t="s">
        <v>6</v>
      </c>
      <c r="B6" s="28"/>
      <c r="C6" s="28"/>
    </row>
    <row r="7" spans="1:3" x14ac:dyDescent="0.25">
      <c r="A7" s="6" t="s">
        <v>9</v>
      </c>
      <c r="B7" s="2">
        <v>2735232</v>
      </c>
      <c r="C7" s="67" t="s">
        <v>7</v>
      </c>
    </row>
    <row r="8" spans="1:3" x14ac:dyDescent="0.25">
      <c r="A8" s="8" t="s">
        <v>10</v>
      </c>
      <c r="B8" s="2">
        <v>39082</v>
      </c>
      <c r="C8" s="67" t="s">
        <v>7</v>
      </c>
    </row>
    <row r="9" spans="1:3" x14ac:dyDescent="0.25">
      <c r="A9" s="8" t="s">
        <v>195</v>
      </c>
      <c r="B9" s="2">
        <v>67385</v>
      </c>
      <c r="C9" s="67" t="s">
        <v>8</v>
      </c>
    </row>
    <row r="10" spans="1:3" x14ac:dyDescent="0.25">
      <c r="A10" s="8" t="s">
        <v>169</v>
      </c>
      <c r="B10" s="2">
        <v>11177</v>
      </c>
      <c r="C10" s="67" t="s">
        <v>155</v>
      </c>
    </row>
    <row r="11" spans="1:3" x14ac:dyDescent="0.25">
      <c r="A11" s="8" t="s">
        <v>171</v>
      </c>
      <c r="B11" s="2">
        <v>139020</v>
      </c>
      <c r="C11" s="67" t="s">
        <v>202</v>
      </c>
    </row>
    <row r="12" spans="1:3" x14ac:dyDescent="0.25">
      <c r="A12" s="8" t="s">
        <v>196</v>
      </c>
      <c r="B12" s="2">
        <v>13154</v>
      </c>
      <c r="C12" s="67" t="s">
        <v>198</v>
      </c>
    </row>
    <row r="13" spans="1:3" x14ac:dyDescent="0.25">
      <c r="A13" s="136" t="s">
        <v>221</v>
      </c>
      <c r="B13" s="2">
        <v>14748</v>
      </c>
      <c r="C13" s="67" t="s">
        <v>219</v>
      </c>
    </row>
    <row r="14" spans="1:3" x14ac:dyDescent="0.25">
      <c r="A14" s="53" t="s">
        <v>13</v>
      </c>
      <c r="B14" s="2">
        <v>8261</v>
      </c>
      <c r="C14" s="67" t="s">
        <v>155</v>
      </c>
    </row>
    <row r="15" spans="1:3" ht="15.75" thickBot="1" x14ac:dyDescent="0.3">
      <c r="A15" s="10" t="s">
        <v>172</v>
      </c>
      <c r="B15" s="2">
        <v>3085</v>
      </c>
      <c r="C15" s="67" t="s">
        <v>174</v>
      </c>
    </row>
    <row r="16" spans="1:3" ht="16.5" thickBot="1" x14ac:dyDescent="0.3">
      <c r="A16" s="29" t="s">
        <v>14</v>
      </c>
      <c r="B16" s="30">
        <v>3031144</v>
      </c>
      <c r="C16" s="58"/>
    </row>
    <row r="17" spans="1:3" ht="16.5" thickBot="1" x14ac:dyDescent="0.3">
      <c r="A17" s="3"/>
      <c r="B17" s="11"/>
    </row>
    <row r="18" spans="1:3" ht="43.5" thickBot="1" x14ac:dyDescent="0.3">
      <c r="A18" s="24" t="s">
        <v>15</v>
      </c>
      <c r="B18" s="25" t="s">
        <v>5</v>
      </c>
      <c r="C18" s="51" t="s">
        <v>154</v>
      </c>
    </row>
    <row r="19" spans="1:3" ht="16.5" thickBot="1" x14ac:dyDescent="0.3">
      <c r="A19" s="31" t="s">
        <v>6</v>
      </c>
      <c r="B19" s="28"/>
      <c r="C19" s="32"/>
    </row>
    <row r="20" spans="1:3" ht="15.75" thickBot="1" x14ac:dyDescent="0.3">
      <c r="A20" s="38" t="s">
        <v>16</v>
      </c>
      <c r="B20" s="45">
        <v>2285197</v>
      </c>
      <c r="C20" s="63" t="s">
        <v>211</v>
      </c>
    </row>
    <row r="21" spans="1:3" ht="15.75" thickBot="1" x14ac:dyDescent="0.3">
      <c r="A21" s="39" t="s">
        <v>17</v>
      </c>
      <c r="B21" s="45">
        <v>56699</v>
      </c>
      <c r="C21" s="69" t="s">
        <v>155</v>
      </c>
    </row>
    <row r="22" spans="1:3" ht="15.75" thickBot="1" x14ac:dyDescent="0.3">
      <c r="A22" s="40" t="s">
        <v>18</v>
      </c>
      <c r="B22" s="45">
        <v>2540</v>
      </c>
      <c r="C22" s="67" t="s">
        <v>8</v>
      </c>
    </row>
    <row r="23" spans="1:3" ht="15.75" thickBot="1" x14ac:dyDescent="0.3">
      <c r="A23" s="41" t="s">
        <v>19</v>
      </c>
      <c r="B23" s="42">
        <v>48224</v>
      </c>
      <c r="C23" s="69" t="s">
        <v>155</v>
      </c>
    </row>
    <row r="24" spans="1:3" x14ac:dyDescent="0.25">
      <c r="A24" s="110" t="s">
        <v>177</v>
      </c>
      <c r="B24" s="75">
        <v>104</v>
      </c>
      <c r="C24" s="60" t="s">
        <v>7</v>
      </c>
    </row>
    <row r="25" spans="1:3" x14ac:dyDescent="0.25">
      <c r="A25" s="6" t="s">
        <v>20</v>
      </c>
      <c r="B25" s="7">
        <v>600</v>
      </c>
      <c r="C25" s="60" t="s">
        <v>8</v>
      </c>
    </row>
    <row r="26" spans="1:3" x14ac:dyDescent="0.25">
      <c r="A26" s="8" t="s">
        <v>185</v>
      </c>
      <c r="B26" s="7">
        <v>17750</v>
      </c>
      <c r="C26" s="69" t="s">
        <v>155</v>
      </c>
    </row>
    <row r="27" spans="1:3" x14ac:dyDescent="0.25">
      <c r="A27" s="8" t="s">
        <v>22</v>
      </c>
      <c r="B27" s="7">
        <v>600</v>
      </c>
      <c r="C27" s="60" t="s">
        <v>155</v>
      </c>
    </row>
    <row r="28" spans="1:3" x14ac:dyDescent="0.25">
      <c r="A28" s="12" t="s">
        <v>23</v>
      </c>
      <c r="B28" s="7">
        <v>3700</v>
      </c>
      <c r="C28" s="60" t="s">
        <v>155</v>
      </c>
    </row>
    <row r="29" spans="1:3" ht="15.75" thickBot="1" x14ac:dyDescent="0.3">
      <c r="A29" s="8" t="s">
        <v>167</v>
      </c>
      <c r="B29" s="7">
        <v>25470</v>
      </c>
      <c r="C29" s="60" t="s">
        <v>155</v>
      </c>
    </row>
    <row r="30" spans="1:3" ht="15.75" thickBot="1" x14ac:dyDescent="0.3">
      <c r="A30" s="41" t="s">
        <v>24</v>
      </c>
      <c r="B30" s="45">
        <v>40035</v>
      </c>
      <c r="C30" s="60"/>
    </row>
    <row r="31" spans="1:3" x14ac:dyDescent="0.25">
      <c r="A31" s="10" t="s">
        <v>25</v>
      </c>
      <c r="B31" s="88">
        <v>39725</v>
      </c>
      <c r="C31" s="60" t="s">
        <v>155</v>
      </c>
    </row>
    <row r="32" spans="1:3" x14ac:dyDescent="0.25">
      <c r="A32" s="53" t="s">
        <v>178</v>
      </c>
      <c r="B32" s="9">
        <v>310</v>
      </c>
      <c r="C32" s="70" t="s">
        <v>8</v>
      </c>
    </row>
    <row r="33" spans="1:3" ht="15.75" thickBot="1" x14ac:dyDescent="0.3">
      <c r="A33" s="48" t="s">
        <v>26</v>
      </c>
      <c r="B33" s="86">
        <v>116932</v>
      </c>
      <c r="C33" s="70"/>
    </row>
    <row r="34" spans="1:3" x14ac:dyDescent="0.25">
      <c r="A34" s="71" t="s">
        <v>27</v>
      </c>
      <c r="B34" s="9">
        <v>2350</v>
      </c>
      <c r="C34" s="60" t="s">
        <v>155</v>
      </c>
    </row>
    <row r="35" spans="1:3" x14ac:dyDescent="0.25">
      <c r="A35" s="53" t="s">
        <v>28</v>
      </c>
      <c r="B35" s="9">
        <v>31792</v>
      </c>
      <c r="C35" s="60" t="s">
        <v>155</v>
      </c>
    </row>
    <row r="36" spans="1:3" x14ac:dyDescent="0.25">
      <c r="A36" s="53" t="s">
        <v>29</v>
      </c>
      <c r="B36" s="9">
        <v>14800</v>
      </c>
      <c r="C36" s="60" t="s">
        <v>155</v>
      </c>
    </row>
    <row r="37" spans="1:3" x14ac:dyDescent="0.25">
      <c r="A37" s="53" t="s">
        <v>30</v>
      </c>
      <c r="B37" s="9">
        <v>100</v>
      </c>
      <c r="C37" s="69" t="s">
        <v>7</v>
      </c>
    </row>
    <row r="38" spans="1:3" x14ac:dyDescent="0.25">
      <c r="A38" s="53" t="s">
        <v>31</v>
      </c>
      <c r="B38" s="9">
        <v>23500</v>
      </c>
      <c r="C38" s="69" t="s">
        <v>155</v>
      </c>
    </row>
    <row r="39" spans="1:3" x14ac:dyDescent="0.25">
      <c r="A39" s="53" t="s">
        <v>32</v>
      </c>
      <c r="B39" s="9">
        <v>8120</v>
      </c>
      <c r="C39" s="60" t="s">
        <v>7</v>
      </c>
    </row>
    <row r="40" spans="1:3" x14ac:dyDescent="0.25">
      <c r="A40" s="53" t="s">
        <v>33</v>
      </c>
      <c r="B40" s="9">
        <v>550</v>
      </c>
      <c r="C40" s="60" t="s">
        <v>7</v>
      </c>
    </row>
    <row r="41" spans="1:3" x14ac:dyDescent="0.25">
      <c r="A41" s="53" t="s">
        <v>34</v>
      </c>
      <c r="B41" s="9">
        <v>400</v>
      </c>
      <c r="C41" s="60" t="s">
        <v>7</v>
      </c>
    </row>
    <row r="42" spans="1:3" x14ac:dyDescent="0.25">
      <c r="A42" s="53" t="s">
        <v>35</v>
      </c>
      <c r="B42" s="9">
        <v>8225</v>
      </c>
      <c r="C42" s="60" t="s">
        <v>7</v>
      </c>
    </row>
    <row r="43" spans="1:3" x14ac:dyDescent="0.25">
      <c r="A43" s="53" t="s">
        <v>36</v>
      </c>
      <c r="B43" s="9">
        <v>9295</v>
      </c>
      <c r="C43" s="60" t="s">
        <v>155</v>
      </c>
    </row>
    <row r="44" spans="1:3" x14ac:dyDescent="0.25">
      <c r="A44" s="53" t="s">
        <v>37</v>
      </c>
      <c r="B44" s="9">
        <v>5320</v>
      </c>
      <c r="C44" s="60" t="s">
        <v>7</v>
      </c>
    </row>
    <row r="45" spans="1:3" x14ac:dyDescent="0.25">
      <c r="A45" s="53" t="s">
        <v>38</v>
      </c>
      <c r="B45" s="9">
        <v>2790</v>
      </c>
      <c r="C45" s="60" t="s">
        <v>7</v>
      </c>
    </row>
    <row r="46" spans="1:3" x14ac:dyDescent="0.25">
      <c r="A46" s="53" t="s">
        <v>39</v>
      </c>
      <c r="B46" s="9">
        <v>1250</v>
      </c>
      <c r="C46" s="60" t="s">
        <v>7</v>
      </c>
    </row>
    <row r="47" spans="1:3" x14ac:dyDescent="0.25">
      <c r="A47" s="53" t="s">
        <v>40</v>
      </c>
      <c r="B47" s="9">
        <v>0</v>
      </c>
      <c r="C47" s="60"/>
    </row>
    <row r="48" spans="1:3" x14ac:dyDescent="0.25">
      <c r="A48" s="53" t="s">
        <v>41</v>
      </c>
      <c r="B48" s="9">
        <v>650</v>
      </c>
      <c r="C48" s="60" t="s">
        <v>155</v>
      </c>
    </row>
    <row r="49" spans="1:3" x14ac:dyDescent="0.25">
      <c r="A49" s="53" t="s">
        <v>42</v>
      </c>
      <c r="B49" s="9">
        <v>500</v>
      </c>
      <c r="C49" s="60" t="s">
        <v>7</v>
      </c>
    </row>
    <row r="50" spans="1:3" x14ac:dyDescent="0.25">
      <c r="A50" s="53" t="s">
        <v>43</v>
      </c>
      <c r="B50" s="9">
        <v>600</v>
      </c>
      <c r="C50" s="60" t="s">
        <v>7</v>
      </c>
    </row>
    <row r="51" spans="1:3" x14ac:dyDescent="0.25">
      <c r="A51" s="53" t="s">
        <v>44</v>
      </c>
      <c r="B51" s="9">
        <v>3800</v>
      </c>
      <c r="C51" s="60" t="s">
        <v>7</v>
      </c>
    </row>
    <row r="52" spans="1:3" x14ac:dyDescent="0.25">
      <c r="A52" s="53" t="s">
        <v>45</v>
      </c>
      <c r="B52" s="9">
        <v>1550</v>
      </c>
      <c r="C52" s="60" t="s">
        <v>7</v>
      </c>
    </row>
    <row r="53" spans="1:3" x14ac:dyDescent="0.25">
      <c r="A53" s="53" t="s">
        <v>46</v>
      </c>
      <c r="B53" s="9">
        <v>280</v>
      </c>
      <c r="C53" s="60" t="s">
        <v>8</v>
      </c>
    </row>
    <row r="54" spans="1:3" x14ac:dyDescent="0.25">
      <c r="A54" s="53" t="s">
        <v>153</v>
      </c>
      <c r="B54" s="9">
        <v>360</v>
      </c>
      <c r="C54" s="60" t="s">
        <v>8</v>
      </c>
    </row>
    <row r="55" spans="1:3" x14ac:dyDescent="0.25">
      <c r="A55" s="53" t="s">
        <v>47</v>
      </c>
      <c r="B55" s="9">
        <v>0</v>
      </c>
      <c r="C55" s="60"/>
    </row>
    <row r="56" spans="1:3" x14ac:dyDescent="0.25">
      <c r="A56" s="54" t="s">
        <v>48</v>
      </c>
      <c r="B56" s="9">
        <v>230</v>
      </c>
      <c r="C56" s="60" t="s">
        <v>8</v>
      </c>
    </row>
    <row r="57" spans="1:3" ht="15.75" thickBot="1" x14ac:dyDescent="0.3">
      <c r="A57" s="17" t="s">
        <v>49</v>
      </c>
      <c r="B57" s="9">
        <v>470</v>
      </c>
      <c r="C57" s="60" t="s">
        <v>8</v>
      </c>
    </row>
    <row r="58" spans="1:3" ht="15.75" thickBot="1" x14ac:dyDescent="0.3">
      <c r="A58" s="46" t="s">
        <v>50</v>
      </c>
      <c r="B58" s="44">
        <v>1476</v>
      </c>
      <c r="C58" s="70"/>
    </row>
    <row r="59" spans="1:3" x14ac:dyDescent="0.25">
      <c r="A59" s="4" t="s">
        <v>51</v>
      </c>
      <c r="B59" s="7">
        <v>0</v>
      </c>
      <c r="C59" s="60"/>
    </row>
    <row r="60" spans="1:3" x14ac:dyDescent="0.25">
      <c r="A60" s="8" t="s">
        <v>52</v>
      </c>
      <c r="B60" s="7">
        <v>100</v>
      </c>
      <c r="C60" s="60" t="s">
        <v>8</v>
      </c>
    </row>
    <row r="61" spans="1:3" x14ac:dyDescent="0.25">
      <c r="A61" s="8" t="s">
        <v>53</v>
      </c>
      <c r="B61" s="7">
        <v>800</v>
      </c>
      <c r="C61" s="60" t="s">
        <v>8</v>
      </c>
    </row>
    <row r="62" spans="1:3" x14ac:dyDescent="0.25">
      <c r="A62" s="8" t="s">
        <v>54</v>
      </c>
      <c r="B62" s="7">
        <v>50</v>
      </c>
      <c r="C62" s="60" t="s">
        <v>8</v>
      </c>
    </row>
    <row r="63" spans="1:3" x14ac:dyDescent="0.25">
      <c r="A63" s="8" t="s">
        <v>55</v>
      </c>
      <c r="B63" s="7">
        <v>50</v>
      </c>
      <c r="C63" s="60" t="s">
        <v>8</v>
      </c>
    </row>
    <row r="64" spans="1:3" x14ac:dyDescent="0.25">
      <c r="A64" s="8" t="s">
        <v>56</v>
      </c>
      <c r="B64" s="7">
        <v>100</v>
      </c>
      <c r="C64" s="60" t="s">
        <v>8</v>
      </c>
    </row>
    <row r="65" spans="1:3" x14ac:dyDescent="0.25">
      <c r="A65" s="8" t="s">
        <v>57</v>
      </c>
      <c r="B65" s="7">
        <v>100</v>
      </c>
      <c r="C65" s="60" t="s">
        <v>8</v>
      </c>
    </row>
    <row r="66" spans="1:3" x14ac:dyDescent="0.25">
      <c r="A66" s="8" t="s">
        <v>58</v>
      </c>
      <c r="B66" s="7">
        <v>0</v>
      </c>
      <c r="C66" s="60" t="s">
        <v>8</v>
      </c>
    </row>
    <row r="67" spans="1:3" ht="15.75" thickBot="1" x14ac:dyDescent="0.3">
      <c r="A67" s="12" t="s">
        <v>59</v>
      </c>
      <c r="B67" s="7">
        <v>276</v>
      </c>
      <c r="C67" s="60" t="s">
        <v>8</v>
      </c>
    </row>
    <row r="68" spans="1:3" ht="15.75" thickBot="1" x14ac:dyDescent="0.3">
      <c r="A68" s="41" t="s">
        <v>60</v>
      </c>
      <c r="B68" s="44">
        <v>38695</v>
      </c>
      <c r="C68" s="60"/>
    </row>
    <row r="69" spans="1:3" x14ac:dyDescent="0.25">
      <c r="A69" s="14" t="s">
        <v>165</v>
      </c>
      <c r="B69" s="2">
        <v>0</v>
      </c>
      <c r="C69" s="60" t="s">
        <v>8</v>
      </c>
    </row>
    <row r="70" spans="1:3" x14ac:dyDescent="0.25">
      <c r="A70" s="14" t="s">
        <v>61</v>
      </c>
      <c r="B70" s="2">
        <v>185</v>
      </c>
      <c r="C70" s="60" t="s">
        <v>8</v>
      </c>
    </row>
    <row r="71" spans="1:3" x14ac:dyDescent="0.25">
      <c r="A71" s="8" t="s">
        <v>62</v>
      </c>
      <c r="B71" s="2">
        <v>480</v>
      </c>
      <c r="C71" s="60" t="s">
        <v>8</v>
      </c>
    </row>
    <row r="72" spans="1:3" x14ac:dyDescent="0.25">
      <c r="A72" s="8" t="s">
        <v>63</v>
      </c>
      <c r="B72" s="2">
        <v>3930</v>
      </c>
      <c r="C72" s="60" t="s">
        <v>7</v>
      </c>
    </row>
    <row r="73" spans="1:3" x14ac:dyDescent="0.25">
      <c r="A73" s="8" t="s">
        <v>64</v>
      </c>
      <c r="B73" s="2">
        <v>7820</v>
      </c>
      <c r="C73" s="60" t="s">
        <v>7</v>
      </c>
    </row>
    <row r="74" spans="1:3" x14ac:dyDescent="0.25">
      <c r="A74" s="8" t="s">
        <v>65</v>
      </c>
      <c r="B74" s="2">
        <v>350</v>
      </c>
      <c r="C74" s="60" t="s">
        <v>8</v>
      </c>
    </row>
    <row r="75" spans="1:3" x14ac:dyDescent="0.25">
      <c r="A75" s="8" t="s">
        <v>66</v>
      </c>
      <c r="B75" s="2">
        <v>7130</v>
      </c>
      <c r="C75" s="60" t="s">
        <v>8</v>
      </c>
    </row>
    <row r="76" spans="1:3" x14ac:dyDescent="0.25">
      <c r="A76" s="8" t="s">
        <v>67</v>
      </c>
      <c r="B76" s="2">
        <v>300</v>
      </c>
      <c r="C76" s="60" t="s">
        <v>8</v>
      </c>
    </row>
    <row r="77" spans="1:3" x14ac:dyDescent="0.25">
      <c r="A77" s="8" t="s">
        <v>68</v>
      </c>
      <c r="B77" s="2">
        <v>0</v>
      </c>
      <c r="C77" s="60" t="s">
        <v>8</v>
      </c>
    </row>
    <row r="78" spans="1:3" x14ac:dyDescent="0.25">
      <c r="A78" s="8" t="s">
        <v>69</v>
      </c>
      <c r="B78" s="2">
        <v>70</v>
      </c>
      <c r="C78" s="60" t="s">
        <v>8</v>
      </c>
    </row>
    <row r="79" spans="1:3" x14ac:dyDescent="0.25">
      <c r="A79" s="8" t="s">
        <v>70</v>
      </c>
      <c r="B79" s="2">
        <v>1200</v>
      </c>
      <c r="C79" s="60" t="s">
        <v>8</v>
      </c>
    </row>
    <row r="80" spans="1:3" x14ac:dyDescent="0.25">
      <c r="A80" s="8" t="s">
        <v>71</v>
      </c>
      <c r="B80" s="2">
        <v>150</v>
      </c>
      <c r="C80" s="60" t="s">
        <v>8</v>
      </c>
    </row>
    <row r="81" spans="1:3" x14ac:dyDescent="0.25">
      <c r="A81" s="8" t="s">
        <v>72</v>
      </c>
      <c r="B81" s="2">
        <v>120</v>
      </c>
      <c r="C81" s="60" t="s">
        <v>7</v>
      </c>
    </row>
    <row r="82" spans="1:3" x14ac:dyDescent="0.25">
      <c r="A82" s="8" t="s">
        <v>73</v>
      </c>
      <c r="B82" s="2">
        <v>1025</v>
      </c>
      <c r="C82" s="60" t="s">
        <v>223</v>
      </c>
    </row>
    <row r="83" spans="1:3" x14ac:dyDescent="0.25">
      <c r="A83" s="8" t="s">
        <v>74</v>
      </c>
      <c r="B83" s="2">
        <v>400</v>
      </c>
      <c r="C83" s="60" t="s">
        <v>8</v>
      </c>
    </row>
    <row r="84" spans="1:3" x14ac:dyDescent="0.25">
      <c r="A84" s="8" t="s">
        <v>75</v>
      </c>
      <c r="B84" s="2">
        <v>50</v>
      </c>
      <c r="C84" s="60" t="s">
        <v>8</v>
      </c>
    </row>
    <row r="85" spans="1:3" x14ac:dyDescent="0.25">
      <c r="A85" s="8" t="s">
        <v>76</v>
      </c>
      <c r="B85" s="2">
        <v>1200</v>
      </c>
      <c r="C85" s="60" t="s">
        <v>8</v>
      </c>
    </row>
    <row r="86" spans="1:3" x14ac:dyDescent="0.25">
      <c r="A86" s="15" t="s">
        <v>77</v>
      </c>
      <c r="B86" s="2">
        <v>50</v>
      </c>
      <c r="C86" s="60" t="s">
        <v>8</v>
      </c>
    </row>
    <row r="87" spans="1:3" x14ac:dyDescent="0.25">
      <c r="A87" s="6" t="s">
        <v>78</v>
      </c>
      <c r="B87" s="2">
        <v>1500</v>
      </c>
      <c r="C87" s="60" t="s">
        <v>8</v>
      </c>
    </row>
    <row r="88" spans="1:3" x14ac:dyDescent="0.25">
      <c r="A88" s="8" t="s">
        <v>79</v>
      </c>
      <c r="B88" s="2">
        <v>600</v>
      </c>
      <c r="C88" s="60" t="s">
        <v>8</v>
      </c>
    </row>
    <row r="89" spans="1:3" x14ac:dyDescent="0.25">
      <c r="A89" s="8" t="s">
        <v>80</v>
      </c>
      <c r="B89" s="2">
        <v>6877</v>
      </c>
      <c r="C89" s="60" t="s">
        <v>7</v>
      </c>
    </row>
    <row r="90" spans="1:3" x14ac:dyDescent="0.25">
      <c r="A90" s="8" t="s">
        <v>81</v>
      </c>
      <c r="B90" s="2">
        <v>619</v>
      </c>
      <c r="C90" s="60" t="s">
        <v>8</v>
      </c>
    </row>
    <row r="91" spans="1:3" x14ac:dyDescent="0.25">
      <c r="A91" s="8" t="s">
        <v>82</v>
      </c>
      <c r="B91" s="2">
        <v>150</v>
      </c>
      <c r="C91" s="60" t="s">
        <v>8</v>
      </c>
    </row>
    <row r="92" spans="1:3" ht="15.75" thickBot="1" x14ac:dyDescent="0.3">
      <c r="A92" s="12" t="s">
        <v>83</v>
      </c>
      <c r="B92" s="2">
        <v>4489</v>
      </c>
      <c r="C92" s="60" t="s">
        <v>159</v>
      </c>
    </row>
    <row r="93" spans="1:3" ht="15.75" thickBot="1" x14ac:dyDescent="0.3">
      <c r="A93" s="41" t="s">
        <v>84</v>
      </c>
      <c r="B93" s="45">
        <v>13310</v>
      </c>
      <c r="C93" s="60"/>
    </row>
    <row r="94" spans="1:3" x14ac:dyDescent="0.25">
      <c r="A94" s="6" t="s">
        <v>85</v>
      </c>
      <c r="B94" s="78">
        <v>75</v>
      </c>
      <c r="C94" s="60" t="s">
        <v>155</v>
      </c>
    </row>
    <row r="95" spans="1:3" x14ac:dyDescent="0.25">
      <c r="A95" s="8" t="s">
        <v>86</v>
      </c>
      <c r="B95" s="9">
        <v>410</v>
      </c>
      <c r="C95" s="60" t="s">
        <v>7</v>
      </c>
    </row>
    <row r="96" spans="1:3" x14ac:dyDescent="0.25">
      <c r="A96" s="8" t="s">
        <v>157</v>
      </c>
      <c r="B96" s="9">
        <v>3300</v>
      </c>
      <c r="C96" s="60" t="s">
        <v>8</v>
      </c>
    </row>
    <row r="97" spans="1:3" x14ac:dyDescent="0.25">
      <c r="A97" s="8" t="s">
        <v>87</v>
      </c>
      <c r="B97" s="9">
        <v>3905</v>
      </c>
      <c r="C97" s="60" t="s">
        <v>155</v>
      </c>
    </row>
    <row r="98" spans="1:3" x14ac:dyDescent="0.25">
      <c r="A98" s="8" t="s">
        <v>88</v>
      </c>
      <c r="B98" s="9">
        <v>50</v>
      </c>
      <c r="C98" s="60" t="s">
        <v>8</v>
      </c>
    </row>
    <row r="99" spans="1:3" ht="15.75" thickBot="1" x14ac:dyDescent="0.3">
      <c r="A99" s="12" t="s">
        <v>89</v>
      </c>
      <c r="B99" s="2">
        <v>5570</v>
      </c>
      <c r="C99" s="60" t="s">
        <v>208</v>
      </c>
    </row>
    <row r="100" spans="1:3" ht="15.75" thickBot="1" x14ac:dyDescent="0.3">
      <c r="A100" s="41" t="s">
        <v>90</v>
      </c>
      <c r="B100" s="45">
        <v>33100</v>
      </c>
      <c r="C100" s="60"/>
    </row>
    <row r="101" spans="1:3" x14ac:dyDescent="0.25">
      <c r="A101" s="6" t="s">
        <v>91</v>
      </c>
      <c r="B101" s="9">
        <v>1000</v>
      </c>
      <c r="C101" s="60" t="s">
        <v>7</v>
      </c>
    </row>
    <row r="102" spans="1:3" x14ac:dyDescent="0.25">
      <c r="A102" s="8" t="s">
        <v>92</v>
      </c>
      <c r="B102" s="9">
        <v>200</v>
      </c>
      <c r="C102" s="60" t="s">
        <v>7</v>
      </c>
    </row>
    <row r="103" spans="1:3" x14ac:dyDescent="0.25">
      <c r="A103" s="8" t="s">
        <v>149</v>
      </c>
      <c r="B103" s="9">
        <v>1290</v>
      </c>
      <c r="C103" s="60" t="s">
        <v>7</v>
      </c>
    </row>
    <row r="104" spans="1:3" x14ac:dyDescent="0.25">
      <c r="A104" s="8" t="s">
        <v>93</v>
      </c>
      <c r="B104" s="9">
        <v>220</v>
      </c>
      <c r="C104" s="60" t="s">
        <v>7</v>
      </c>
    </row>
    <row r="105" spans="1:3" x14ac:dyDescent="0.25">
      <c r="A105" s="8" t="s">
        <v>94</v>
      </c>
      <c r="B105" s="9">
        <v>1520</v>
      </c>
      <c r="C105" s="60" t="s">
        <v>7</v>
      </c>
    </row>
    <row r="106" spans="1:3" x14ac:dyDescent="0.25">
      <c r="A106" s="8" t="s">
        <v>95</v>
      </c>
      <c r="B106" s="9">
        <v>400</v>
      </c>
      <c r="C106" s="60" t="s">
        <v>7</v>
      </c>
    </row>
    <row r="107" spans="1:3" x14ac:dyDescent="0.25">
      <c r="A107" s="8" t="s">
        <v>96</v>
      </c>
      <c r="B107" s="9">
        <v>1860</v>
      </c>
      <c r="C107" s="60" t="s">
        <v>7</v>
      </c>
    </row>
    <row r="108" spans="1:3" x14ac:dyDescent="0.25">
      <c r="A108" s="8" t="s">
        <v>160</v>
      </c>
      <c r="B108" s="9">
        <v>0</v>
      </c>
      <c r="C108" s="60"/>
    </row>
    <row r="109" spans="1:3" x14ac:dyDescent="0.25">
      <c r="A109" s="8" t="s">
        <v>97</v>
      </c>
      <c r="B109" s="9">
        <v>2300</v>
      </c>
      <c r="C109" s="60" t="s">
        <v>7</v>
      </c>
    </row>
    <row r="110" spans="1:3" x14ac:dyDescent="0.25">
      <c r="A110" s="8" t="s">
        <v>98</v>
      </c>
      <c r="B110" s="9">
        <v>600</v>
      </c>
      <c r="C110" s="60" t="s">
        <v>7</v>
      </c>
    </row>
    <row r="111" spans="1:3" x14ac:dyDescent="0.25">
      <c r="A111" s="8" t="s">
        <v>99</v>
      </c>
      <c r="B111" s="9">
        <v>9160</v>
      </c>
      <c r="C111" s="60" t="s">
        <v>7</v>
      </c>
    </row>
    <row r="112" spans="1:3" x14ac:dyDescent="0.25">
      <c r="A112" s="8" t="s">
        <v>100</v>
      </c>
      <c r="B112" s="9">
        <v>100</v>
      </c>
      <c r="C112" s="60" t="s">
        <v>8</v>
      </c>
    </row>
    <row r="113" spans="1:3" x14ac:dyDescent="0.25">
      <c r="A113" s="8" t="s">
        <v>161</v>
      </c>
      <c r="B113" s="9">
        <v>0</v>
      </c>
      <c r="C113" s="60"/>
    </row>
    <row r="114" spans="1:3" x14ac:dyDescent="0.25">
      <c r="A114" s="8" t="s">
        <v>101</v>
      </c>
      <c r="B114" s="9">
        <v>1400</v>
      </c>
      <c r="C114" s="60" t="s">
        <v>7</v>
      </c>
    </row>
    <row r="115" spans="1:3" x14ac:dyDescent="0.25">
      <c r="A115" s="8" t="s">
        <v>102</v>
      </c>
      <c r="B115" s="9">
        <v>1000</v>
      </c>
      <c r="C115" s="60" t="s">
        <v>7</v>
      </c>
    </row>
    <row r="116" spans="1:3" x14ac:dyDescent="0.25">
      <c r="A116" s="8" t="s">
        <v>103</v>
      </c>
      <c r="B116" s="9">
        <v>0</v>
      </c>
      <c r="C116" s="60" t="s">
        <v>7</v>
      </c>
    </row>
    <row r="117" spans="1:3" x14ac:dyDescent="0.25">
      <c r="A117" s="8" t="s">
        <v>104</v>
      </c>
      <c r="B117" s="9">
        <v>1100</v>
      </c>
      <c r="C117" s="60" t="s">
        <v>7</v>
      </c>
    </row>
    <row r="118" spans="1:3" x14ac:dyDescent="0.25">
      <c r="A118" s="8" t="s">
        <v>105</v>
      </c>
      <c r="B118" s="9">
        <v>70</v>
      </c>
      <c r="C118" s="60" t="s">
        <v>7</v>
      </c>
    </row>
    <row r="119" spans="1:3" x14ac:dyDescent="0.25">
      <c r="A119" s="8" t="s">
        <v>106</v>
      </c>
      <c r="B119" s="9">
        <v>1980</v>
      </c>
      <c r="C119" s="60" t="s">
        <v>7</v>
      </c>
    </row>
    <row r="120" spans="1:3" x14ac:dyDescent="0.25">
      <c r="A120" s="8" t="s">
        <v>107</v>
      </c>
      <c r="B120" s="9">
        <v>3900</v>
      </c>
      <c r="C120" s="60" t="s">
        <v>203</v>
      </c>
    </row>
    <row r="121" spans="1:3" x14ac:dyDescent="0.25">
      <c r="A121" s="23" t="s">
        <v>108</v>
      </c>
      <c r="B121" s="9">
        <v>1800</v>
      </c>
      <c r="C121" s="60" t="s">
        <v>7</v>
      </c>
    </row>
    <row r="122" spans="1:3" x14ac:dyDescent="0.25">
      <c r="A122" s="8" t="s">
        <v>109</v>
      </c>
      <c r="B122" s="9">
        <v>600</v>
      </c>
      <c r="C122" s="60" t="s">
        <v>7</v>
      </c>
    </row>
    <row r="123" spans="1:3" x14ac:dyDescent="0.25">
      <c r="A123" s="8" t="s">
        <v>110</v>
      </c>
      <c r="B123" s="9">
        <v>1400</v>
      </c>
      <c r="C123" s="60" t="s">
        <v>8</v>
      </c>
    </row>
    <row r="124" spans="1:3" ht="15.75" thickBot="1" x14ac:dyDescent="0.3">
      <c r="A124" s="12" t="s">
        <v>111</v>
      </c>
      <c r="B124" s="9">
        <v>1200</v>
      </c>
      <c r="C124" s="60" t="s">
        <v>7</v>
      </c>
    </row>
    <row r="125" spans="1:3" ht="15.75" thickBot="1" x14ac:dyDescent="0.3">
      <c r="A125" s="41" t="s">
        <v>112</v>
      </c>
      <c r="B125" s="45">
        <v>232066</v>
      </c>
      <c r="C125" s="60"/>
    </row>
    <row r="126" spans="1:3" x14ac:dyDescent="0.25">
      <c r="A126" s="6" t="s">
        <v>113</v>
      </c>
      <c r="B126" s="9">
        <v>8650</v>
      </c>
      <c r="C126" s="60" t="s">
        <v>155</v>
      </c>
    </row>
    <row r="127" spans="1:3" x14ac:dyDescent="0.25">
      <c r="A127" s="8" t="s">
        <v>114</v>
      </c>
      <c r="B127" s="9">
        <v>100</v>
      </c>
      <c r="C127" s="60" t="s">
        <v>7</v>
      </c>
    </row>
    <row r="128" spans="1:3" x14ac:dyDescent="0.25">
      <c r="A128" s="8" t="s">
        <v>162</v>
      </c>
      <c r="B128" s="9">
        <v>1200</v>
      </c>
      <c r="C128" s="60" t="s">
        <v>7</v>
      </c>
    </row>
    <row r="129" spans="1:3" x14ac:dyDescent="0.25">
      <c r="A129" s="8" t="s">
        <v>115</v>
      </c>
      <c r="B129" s="9">
        <v>700</v>
      </c>
      <c r="C129" s="60" t="s">
        <v>7</v>
      </c>
    </row>
    <row r="130" spans="1:3" x14ac:dyDescent="0.25">
      <c r="A130" s="8" t="s">
        <v>116</v>
      </c>
      <c r="B130" s="9">
        <v>20</v>
      </c>
      <c r="C130" s="60" t="s">
        <v>8</v>
      </c>
    </row>
    <row r="131" spans="1:3" x14ac:dyDescent="0.25">
      <c r="A131" s="8" t="s">
        <v>117</v>
      </c>
      <c r="B131" s="9">
        <v>200</v>
      </c>
      <c r="C131" s="60" t="s">
        <v>8</v>
      </c>
    </row>
    <row r="132" spans="1:3" x14ac:dyDescent="0.25">
      <c r="A132" s="8" t="s">
        <v>118</v>
      </c>
      <c r="B132" s="9">
        <v>600</v>
      </c>
      <c r="C132" s="60" t="s">
        <v>8</v>
      </c>
    </row>
    <row r="133" spans="1:3" x14ac:dyDescent="0.25">
      <c r="A133" s="8" t="s">
        <v>119</v>
      </c>
      <c r="B133" s="9">
        <v>13760</v>
      </c>
      <c r="C133" s="60" t="s">
        <v>7</v>
      </c>
    </row>
    <row r="134" spans="1:3" x14ac:dyDescent="0.25">
      <c r="A134" s="8" t="s">
        <v>163</v>
      </c>
      <c r="B134" s="9">
        <v>850</v>
      </c>
      <c r="C134" s="60" t="s">
        <v>7</v>
      </c>
    </row>
    <row r="135" spans="1:3" x14ac:dyDescent="0.25">
      <c r="A135" s="8" t="s">
        <v>120</v>
      </c>
      <c r="B135" s="9">
        <v>1200</v>
      </c>
      <c r="C135" s="60" t="s">
        <v>7</v>
      </c>
    </row>
    <row r="136" spans="1:3" x14ac:dyDescent="0.25">
      <c r="A136" s="23" t="s">
        <v>121</v>
      </c>
      <c r="B136" s="9">
        <v>38114</v>
      </c>
      <c r="C136" s="60" t="s">
        <v>155</v>
      </c>
    </row>
    <row r="137" spans="1:3" x14ac:dyDescent="0.25">
      <c r="A137" s="8" t="s">
        <v>122</v>
      </c>
      <c r="B137" s="9">
        <v>62140</v>
      </c>
      <c r="C137" s="60" t="s">
        <v>155</v>
      </c>
    </row>
    <row r="138" spans="1:3" x14ac:dyDescent="0.25">
      <c r="A138" s="8" t="s">
        <v>158</v>
      </c>
      <c r="B138" s="9">
        <v>84693</v>
      </c>
      <c r="C138" s="60" t="s">
        <v>7</v>
      </c>
    </row>
    <row r="139" spans="1:3" x14ac:dyDescent="0.25">
      <c r="A139" s="8" t="s">
        <v>123</v>
      </c>
      <c r="B139" s="9">
        <v>1857</v>
      </c>
      <c r="C139" s="60" t="s">
        <v>155</v>
      </c>
    </row>
    <row r="140" spans="1:3" x14ac:dyDescent="0.25">
      <c r="A140" s="8" t="s">
        <v>124</v>
      </c>
      <c r="B140" s="9">
        <v>4509</v>
      </c>
      <c r="C140" s="60" t="s">
        <v>7</v>
      </c>
    </row>
    <row r="141" spans="1:3" x14ac:dyDescent="0.25">
      <c r="A141" s="8" t="s">
        <v>125</v>
      </c>
      <c r="B141" s="9">
        <v>1200</v>
      </c>
      <c r="C141" s="60" t="s">
        <v>7</v>
      </c>
    </row>
    <row r="142" spans="1:3" x14ac:dyDescent="0.25">
      <c r="A142" s="8" t="s">
        <v>164</v>
      </c>
      <c r="B142" s="9">
        <v>0</v>
      </c>
      <c r="C142" s="60" t="s">
        <v>7</v>
      </c>
    </row>
    <row r="143" spans="1:3" x14ac:dyDescent="0.25">
      <c r="A143" s="8" t="s">
        <v>126</v>
      </c>
      <c r="B143" s="9">
        <v>1430</v>
      </c>
      <c r="C143" s="60" t="s">
        <v>155</v>
      </c>
    </row>
    <row r="144" spans="1:3" x14ac:dyDescent="0.25">
      <c r="A144" s="8" t="s">
        <v>127</v>
      </c>
      <c r="B144" s="9">
        <v>1580</v>
      </c>
      <c r="C144" s="60" t="s">
        <v>7</v>
      </c>
    </row>
    <row r="145" spans="1:3" x14ac:dyDescent="0.25">
      <c r="A145" s="8" t="s">
        <v>128</v>
      </c>
      <c r="B145" s="9">
        <v>8300</v>
      </c>
      <c r="C145" s="60" t="s">
        <v>155</v>
      </c>
    </row>
    <row r="146" spans="1:3" ht="15.75" thickBot="1" x14ac:dyDescent="0.3">
      <c r="A146" s="17" t="s">
        <v>129</v>
      </c>
      <c r="B146" s="9">
        <v>963</v>
      </c>
      <c r="C146" s="60" t="s">
        <v>159</v>
      </c>
    </row>
    <row r="147" spans="1:3" ht="15.75" thickBot="1" x14ac:dyDescent="0.3">
      <c r="A147" s="47" t="s">
        <v>152</v>
      </c>
      <c r="B147" s="72">
        <v>1985</v>
      </c>
      <c r="C147" s="60" t="s">
        <v>8</v>
      </c>
    </row>
    <row r="148" spans="1:3" ht="15.75" thickBot="1" x14ac:dyDescent="0.3">
      <c r="A148" s="48" t="s">
        <v>130</v>
      </c>
      <c r="B148" s="72">
        <v>3700</v>
      </c>
      <c r="C148" s="60" t="s">
        <v>8</v>
      </c>
    </row>
    <row r="149" spans="1:3" ht="15.75" thickBot="1" x14ac:dyDescent="0.3">
      <c r="A149" s="47" t="s">
        <v>151</v>
      </c>
      <c r="B149" s="72">
        <v>2775</v>
      </c>
      <c r="C149" s="60" t="s">
        <v>155</v>
      </c>
    </row>
    <row r="150" spans="1:3" x14ac:dyDescent="0.25">
      <c r="A150" s="6" t="s">
        <v>131</v>
      </c>
      <c r="B150" s="9">
        <v>1550</v>
      </c>
      <c r="C150" s="60" t="s">
        <v>7</v>
      </c>
    </row>
    <row r="151" spans="1:3" x14ac:dyDescent="0.25">
      <c r="A151" s="8" t="s">
        <v>132</v>
      </c>
      <c r="B151" s="9">
        <v>475</v>
      </c>
      <c r="C151" s="60" t="s">
        <v>7</v>
      </c>
    </row>
    <row r="152" spans="1:3" x14ac:dyDescent="0.25">
      <c r="A152" s="12" t="s">
        <v>133</v>
      </c>
      <c r="B152" s="9">
        <v>650</v>
      </c>
      <c r="C152" s="60" t="s">
        <v>155</v>
      </c>
    </row>
    <row r="153" spans="1:3" ht="15.75" thickBot="1" x14ac:dyDescent="0.3">
      <c r="A153" s="18" t="s">
        <v>134</v>
      </c>
      <c r="B153" s="9">
        <v>100</v>
      </c>
      <c r="C153" s="60" t="s">
        <v>8</v>
      </c>
    </row>
    <row r="154" spans="1:3" ht="15.75" thickBot="1" x14ac:dyDescent="0.3">
      <c r="A154" s="50" t="s">
        <v>150</v>
      </c>
      <c r="B154" s="44">
        <v>1000</v>
      </c>
      <c r="C154" s="60" t="s">
        <v>159</v>
      </c>
    </row>
    <row r="155" spans="1:3" ht="15.75" thickBot="1" x14ac:dyDescent="0.3">
      <c r="A155" s="41" t="s">
        <v>135</v>
      </c>
      <c r="B155" s="44">
        <v>800</v>
      </c>
      <c r="C155" s="60" t="s">
        <v>8</v>
      </c>
    </row>
    <row r="156" spans="1:3" ht="16.5" thickBot="1" x14ac:dyDescent="0.3">
      <c r="A156" s="29" t="s">
        <v>136</v>
      </c>
      <c r="B156" s="30">
        <v>2878534</v>
      </c>
      <c r="C156" s="60"/>
    </row>
    <row r="157" spans="1:3" x14ac:dyDescent="0.25">
      <c r="A157" s="19" t="s">
        <v>166</v>
      </c>
      <c r="B157" s="2">
        <v>0</v>
      </c>
      <c r="C157" s="60"/>
    </row>
    <row r="158" spans="1:3" x14ac:dyDescent="0.25">
      <c r="A158" s="19" t="s">
        <v>137</v>
      </c>
      <c r="B158" s="2">
        <v>2797</v>
      </c>
      <c r="C158" s="60" t="s">
        <v>174</v>
      </c>
    </row>
    <row r="159" spans="1:3" x14ac:dyDescent="0.25">
      <c r="A159" s="19" t="s">
        <v>156</v>
      </c>
      <c r="B159" s="2">
        <v>4000</v>
      </c>
      <c r="C159" s="60"/>
    </row>
    <row r="160" spans="1:3" x14ac:dyDescent="0.25">
      <c r="A160" s="21" t="s">
        <v>138</v>
      </c>
      <c r="B160" s="2">
        <v>0</v>
      </c>
      <c r="C160" s="60"/>
    </row>
    <row r="161" spans="1:3" x14ac:dyDescent="0.25">
      <c r="A161" s="21" t="s">
        <v>175</v>
      </c>
      <c r="B161" s="2">
        <v>0</v>
      </c>
      <c r="C161" s="60"/>
    </row>
    <row r="162" spans="1:3" x14ac:dyDescent="0.25">
      <c r="A162" s="21" t="s">
        <v>139</v>
      </c>
      <c r="B162" s="2">
        <v>4000</v>
      </c>
      <c r="C162" s="60" t="s">
        <v>198</v>
      </c>
    </row>
    <row r="163" spans="1:3" x14ac:dyDescent="0.25">
      <c r="A163" s="21" t="s">
        <v>140</v>
      </c>
      <c r="B163" s="2">
        <v>23134</v>
      </c>
      <c r="C163" s="60" t="s">
        <v>159</v>
      </c>
    </row>
    <row r="164" spans="1:3" x14ac:dyDescent="0.25">
      <c r="A164" s="19" t="s">
        <v>141</v>
      </c>
      <c r="B164" s="2">
        <v>38637</v>
      </c>
      <c r="C164" s="60" t="s">
        <v>159</v>
      </c>
    </row>
    <row r="165" spans="1:3" x14ac:dyDescent="0.25">
      <c r="A165" s="21" t="s">
        <v>142</v>
      </c>
      <c r="B165" s="2">
        <v>2449</v>
      </c>
      <c r="C165" s="60" t="s">
        <v>204</v>
      </c>
    </row>
    <row r="166" spans="1:3" x14ac:dyDescent="0.25">
      <c r="A166" s="21" t="s">
        <v>176</v>
      </c>
      <c r="B166" s="2">
        <v>563</v>
      </c>
      <c r="C166" s="60" t="s">
        <v>8</v>
      </c>
    </row>
    <row r="167" spans="1:3" x14ac:dyDescent="0.25">
      <c r="A167" s="19" t="s">
        <v>143</v>
      </c>
      <c r="B167" s="2">
        <v>600</v>
      </c>
      <c r="C167" s="60" t="s">
        <v>8</v>
      </c>
    </row>
    <row r="168" spans="1:3" x14ac:dyDescent="0.25">
      <c r="A168" s="22" t="s">
        <v>144</v>
      </c>
      <c r="B168" s="2">
        <v>76280</v>
      </c>
      <c r="C168" s="60" t="s">
        <v>223</v>
      </c>
    </row>
    <row r="169" spans="1:3" x14ac:dyDescent="0.25">
      <c r="A169" s="19" t="s">
        <v>145</v>
      </c>
      <c r="B169" s="2">
        <v>0</v>
      </c>
      <c r="C169" s="60"/>
    </row>
    <row r="170" spans="1:3" x14ac:dyDescent="0.25">
      <c r="A170" s="19" t="s">
        <v>168</v>
      </c>
      <c r="B170" s="2">
        <v>100</v>
      </c>
      <c r="C170" s="60" t="s">
        <v>8</v>
      </c>
    </row>
    <row r="171" spans="1:3" ht="15.75" thickBot="1" x14ac:dyDescent="0.3">
      <c r="A171" s="19" t="s">
        <v>146</v>
      </c>
      <c r="B171" s="2">
        <v>50</v>
      </c>
      <c r="C171" s="60" t="s">
        <v>8</v>
      </c>
    </row>
    <row r="172" spans="1:3" ht="16.5" thickBot="1" x14ac:dyDescent="0.3">
      <c r="A172" s="29" t="s">
        <v>147</v>
      </c>
      <c r="B172" s="30">
        <v>152610</v>
      </c>
      <c r="C172" s="61"/>
    </row>
    <row r="173" spans="1:3" ht="16.5" thickBot="1" x14ac:dyDescent="0.3">
      <c r="A173" s="34" t="s">
        <v>148</v>
      </c>
      <c r="B173" s="35">
        <v>3031144</v>
      </c>
      <c r="C173" s="62"/>
    </row>
    <row r="174" spans="1:3" x14ac:dyDescent="0.25">
      <c r="B174" s="147" t="s">
        <v>179</v>
      </c>
      <c r="C174" s="147"/>
    </row>
    <row r="175" spans="1:3" x14ac:dyDescent="0.25">
      <c r="B175" s="147" t="s">
        <v>181</v>
      </c>
      <c r="C175" s="147"/>
    </row>
    <row r="176" spans="1:3" x14ac:dyDescent="0.25">
      <c r="B176" s="147"/>
      <c r="C176" s="147"/>
    </row>
  </sheetData>
  <mergeCells count="4">
    <mergeCell ref="A2:C2"/>
    <mergeCell ref="A3:C3"/>
    <mergeCell ref="B174:C174"/>
    <mergeCell ref="B175:C176"/>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5"/>
  <sheetViews>
    <sheetView topLeftCell="B124" zoomScale="120" zoomScaleNormal="120" workbookViewId="0">
      <selection activeCell="C136" sqref="C136"/>
    </sheetView>
  </sheetViews>
  <sheetFormatPr defaultRowHeight="15" x14ac:dyDescent="0.25"/>
  <cols>
    <col min="1" max="1" width="0.85546875" hidden="1" customWidth="1"/>
    <col min="2" max="2" width="47.42578125" customWidth="1"/>
    <col min="3" max="3" width="11.42578125" customWidth="1"/>
    <col min="4" max="4" width="7.85546875" customWidth="1"/>
    <col min="5" max="5" width="8.28515625" customWidth="1"/>
    <col min="6" max="6" width="12.42578125" customWidth="1"/>
    <col min="10" max="10" width="14.7109375" customWidth="1"/>
  </cols>
  <sheetData>
    <row r="1" spans="2:9" ht="9.75" customHeight="1" x14ac:dyDescent="0.25"/>
    <row r="2" spans="2:9" x14ac:dyDescent="0.25">
      <c r="B2" s="144" t="s">
        <v>0</v>
      </c>
      <c r="C2" s="144"/>
      <c r="D2" s="144"/>
      <c r="E2" s="144"/>
      <c r="F2" s="144"/>
    </row>
    <row r="3" spans="2:9" x14ac:dyDescent="0.25">
      <c r="B3" s="145" t="s">
        <v>184</v>
      </c>
      <c r="C3" s="145"/>
      <c r="D3" s="145"/>
      <c r="E3" s="145"/>
      <c r="F3" s="145"/>
    </row>
    <row r="4" spans="2:9" ht="16.5" thickBot="1" x14ac:dyDescent="0.3">
      <c r="B4" s="3"/>
      <c r="C4" s="3"/>
      <c r="D4" s="3"/>
      <c r="E4" s="3"/>
      <c r="F4" s="5" t="s">
        <v>1</v>
      </c>
    </row>
    <row r="5" spans="2:9" ht="82.5" thickBot="1" x14ac:dyDescent="0.3">
      <c r="B5" s="24" t="s">
        <v>2</v>
      </c>
      <c r="C5" s="33" t="s">
        <v>3</v>
      </c>
      <c r="D5" s="33" t="s">
        <v>4</v>
      </c>
      <c r="E5" s="33" t="s">
        <v>186</v>
      </c>
      <c r="F5" s="25" t="s">
        <v>5</v>
      </c>
    </row>
    <row r="6" spans="2:9" ht="16.5" thickBot="1" x14ac:dyDescent="0.3">
      <c r="B6" s="26" t="s">
        <v>6</v>
      </c>
      <c r="C6" s="31" t="s">
        <v>7</v>
      </c>
      <c r="D6" s="27" t="s">
        <v>8</v>
      </c>
      <c r="E6" s="76">
        <v>13</v>
      </c>
      <c r="F6" s="28"/>
    </row>
    <row r="7" spans="2:9" x14ac:dyDescent="0.25">
      <c r="B7" s="6" t="s">
        <v>9</v>
      </c>
      <c r="C7" s="75">
        <f>2155096+335323+29000+C22+C28+70000+5000</f>
        <v>2666543</v>
      </c>
      <c r="D7" s="7"/>
      <c r="E7" s="64"/>
      <c r="F7" s="2">
        <f>SUM(C7:E7)</f>
        <v>2666543</v>
      </c>
    </row>
    <row r="8" spans="2:9" x14ac:dyDescent="0.25">
      <c r="B8" s="8" t="s">
        <v>10</v>
      </c>
      <c r="C8" s="73">
        <f>28311+2392</f>
        <v>30703</v>
      </c>
      <c r="D8" s="9"/>
      <c r="E8" s="64"/>
      <c r="F8" s="2">
        <f t="shared" ref="F8:F14" si="0">SUM(C8:E8)</f>
        <v>30703</v>
      </c>
    </row>
    <row r="9" spans="2:9" x14ac:dyDescent="0.25">
      <c r="B9" s="8" t="s">
        <v>11</v>
      </c>
      <c r="C9" s="9"/>
      <c r="D9" s="9">
        <f>54750+2000+2500+530+750+670-3000-930-1070</f>
        <v>56200</v>
      </c>
      <c r="E9" s="64"/>
      <c r="F9" s="2">
        <f t="shared" si="0"/>
        <v>56200</v>
      </c>
    </row>
    <row r="10" spans="2:9" x14ac:dyDescent="0.25">
      <c r="B10" s="8" t="s">
        <v>169</v>
      </c>
      <c r="C10" s="9">
        <v>2527</v>
      </c>
      <c r="D10" s="9">
        <f>4500+3000+250</f>
        <v>7750</v>
      </c>
      <c r="E10" s="64"/>
      <c r="F10" s="2">
        <f t="shared" si="0"/>
        <v>10277</v>
      </c>
    </row>
    <row r="11" spans="2:9" x14ac:dyDescent="0.25">
      <c r="B11" s="8" t="s">
        <v>170</v>
      </c>
      <c r="C11" s="9"/>
      <c r="D11" s="9"/>
      <c r="E11" s="64"/>
      <c r="F11" s="2">
        <f>SUM(C11:E11)</f>
        <v>0</v>
      </c>
    </row>
    <row r="12" spans="2:9" x14ac:dyDescent="0.25">
      <c r="B12" s="8" t="s">
        <v>12</v>
      </c>
      <c r="C12" s="9"/>
      <c r="D12" s="9"/>
      <c r="E12" s="64"/>
      <c r="F12" s="2">
        <f t="shared" si="0"/>
        <v>0</v>
      </c>
      <c r="I12" s="56"/>
    </row>
    <row r="13" spans="2:9" x14ac:dyDescent="0.25">
      <c r="B13" s="8" t="s">
        <v>13</v>
      </c>
      <c r="C13" s="1">
        <f>2479+27+105</f>
        <v>2611</v>
      </c>
      <c r="D13" s="1">
        <v>5650</v>
      </c>
      <c r="E13" s="9"/>
      <c r="F13" s="2">
        <f t="shared" si="0"/>
        <v>8261</v>
      </c>
    </row>
    <row r="14" spans="2:9" ht="15.75" thickBot="1" x14ac:dyDescent="0.3">
      <c r="B14" s="10" t="s">
        <v>172</v>
      </c>
      <c r="C14" s="1"/>
      <c r="D14" s="1"/>
      <c r="E14" s="37">
        <f>2797+288</f>
        <v>3085</v>
      </c>
      <c r="F14" s="2">
        <f t="shared" si="0"/>
        <v>3085</v>
      </c>
    </row>
    <row r="15" spans="2:9" ht="16.5" thickBot="1" x14ac:dyDescent="0.3">
      <c r="B15" s="29" t="s">
        <v>14</v>
      </c>
      <c r="C15" s="30">
        <f t="shared" ref="C15:E15" si="1">SUM(C7:C14)</f>
        <v>2702384</v>
      </c>
      <c r="D15" s="30">
        <f t="shared" si="1"/>
        <v>69600</v>
      </c>
      <c r="E15" s="30">
        <f t="shared" si="1"/>
        <v>3085</v>
      </c>
      <c r="F15" s="30">
        <f>SUM(F7:F14)</f>
        <v>2775069</v>
      </c>
    </row>
    <row r="16" spans="2:9" ht="6.75" customHeight="1" thickBot="1" x14ac:dyDescent="0.3">
      <c r="B16" s="3"/>
      <c r="C16" s="11"/>
      <c r="D16" s="11"/>
      <c r="E16" s="11"/>
      <c r="F16" s="11"/>
    </row>
    <row r="17" spans="2:8" ht="105" thickBot="1" x14ac:dyDescent="0.3">
      <c r="B17" s="24" t="s">
        <v>15</v>
      </c>
      <c r="C17" s="33" t="s">
        <v>3</v>
      </c>
      <c r="D17" s="33" t="s">
        <v>4</v>
      </c>
      <c r="E17" s="33" t="s">
        <v>173</v>
      </c>
      <c r="F17" s="25" t="s">
        <v>5</v>
      </c>
    </row>
    <row r="18" spans="2:8" ht="16.5" thickBot="1" x14ac:dyDescent="0.3">
      <c r="B18" s="31" t="s">
        <v>6</v>
      </c>
      <c r="C18" s="31" t="s">
        <v>7</v>
      </c>
      <c r="D18" s="27" t="s">
        <v>8</v>
      </c>
      <c r="E18" s="76"/>
      <c r="F18" s="28"/>
    </row>
    <row r="19" spans="2:8" ht="15.75" thickBot="1" x14ac:dyDescent="0.3">
      <c r="B19" s="41" t="s">
        <v>16</v>
      </c>
      <c r="C19" s="45">
        <f>1870011+313095+70000</f>
        <v>2253106</v>
      </c>
      <c r="D19" s="45">
        <v>22550</v>
      </c>
      <c r="E19" s="45">
        <v>288</v>
      </c>
      <c r="F19" s="45">
        <f>SUM(C19:E19)</f>
        <v>2275944</v>
      </c>
    </row>
    <row r="20" spans="2:8" ht="15.75" thickBot="1" x14ac:dyDescent="0.3">
      <c r="B20" s="41" t="s">
        <v>17</v>
      </c>
      <c r="C20" s="45">
        <f>48936+7363</f>
        <v>56299</v>
      </c>
      <c r="D20" s="45">
        <v>400</v>
      </c>
      <c r="E20" s="45"/>
      <c r="F20" s="45">
        <f t="shared" ref="F20:F21" si="2">SUM(C20:E20)</f>
        <v>56699</v>
      </c>
      <c r="H20" s="56"/>
    </row>
    <row r="21" spans="2:8" ht="15.75" thickBot="1" x14ac:dyDescent="0.3">
      <c r="B21" s="41" t="s">
        <v>18</v>
      </c>
      <c r="C21" s="45"/>
      <c r="D21" s="45">
        <f>1800+100</f>
        <v>1900</v>
      </c>
      <c r="E21" s="45"/>
      <c r="F21" s="45">
        <f t="shared" si="2"/>
        <v>1900</v>
      </c>
    </row>
    <row r="22" spans="2:8" ht="15.75" thickBot="1" x14ac:dyDescent="0.3">
      <c r="B22" s="41" t="s">
        <v>19</v>
      </c>
      <c r="C22" s="42">
        <f>+C23+C24+C25+C26+C27</f>
        <v>42624</v>
      </c>
      <c r="D22" s="42">
        <f t="shared" ref="D22:F22" si="3">+D23+D24+D25+D26+D27</f>
        <v>2100</v>
      </c>
      <c r="E22" s="42">
        <f t="shared" si="3"/>
        <v>0</v>
      </c>
      <c r="F22" s="42">
        <f t="shared" si="3"/>
        <v>44724</v>
      </c>
    </row>
    <row r="23" spans="2:8" x14ac:dyDescent="0.25">
      <c r="B23" s="6" t="s">
        <v>20</v>
      </c>
      <c r="C23" s="9"/>
      <c r="D23" s="9">
        <v>600</v>
      </c>
      <c r="E23" s="7"/>
      <c r="F23" s="7">
        <f>SUM(C23:E23)</f>
        <v>600</v>
      </c>
    </row>
    <row r="24" spans="2:8" x14ac:dyDescent="0.25">
      <c r="B24" s="8" t="s">
        <v>185</v>
      </c>
      <c r="C24" s="73">
        <f>7650+9700</f>
        <v>17350</v>
      </c>
      <c r="D24" s="9">
        <v>400</v>
      </c>
      <c r="E24" s="7"/>
      <c r="F24" s="7">
        <f t="shared" ref="F24:F27" si="4">SUM(C24:E24)</f>
        <v>17750</v>
      </c>
    </row>
    <row r="25" spans="2:8" x14ac:dyDescent="0.25">
      <c r="B25" s="8" t="s">
        <v>22</v>
      </c>
      <c r="C25" s="9">
        <f>250-53+303</f>
        <v>500</v>
      </c>
      <c r="D25" s="9">
        <v>100</v>
      </c>
      <c r="E25" s="7"/>
      <c r="F25" s="7">
        <f t="shared" si="4"/>
        <v>600</v>
      </c>
    </row>
    <row r="26" spans="2:8" x14ac:dyDescent="0.25">
      <c r="B26" s="12" t="s">
        <v>23</v>
      </c>
      <c r="C26" s="1">
        <f>750+150+500</f>
        <v>1400</v>
      </c>
      <c r="D26" s="1">
        <v>100</v>
      </c>
      <c r="E26" s="9"/>
      <c r="F26" s="7">
        <f t="shared" si="4"/>
        <v>1500</v>
      </c>
    </row>
    <row r="27" spans="2:8" ht="15.75" thickBot="1" x14ac:dyDescent="0.3">
      <c r="B27" s="8" t="s">
        <v>167</v>
      </c>
      <c r="C27" s="93">
        <f>5600+17774</f>
        <v>23374</v>
      </c>
      <c r="D27" s="74">
        <v>900</v>
      </c>
      <c r="E27" s="13"/>
      <c r="F27" s="7">
        <f t="shared" si="4"/>
        <v>24274</v>
      </c>
    </row>
    <row r="28" spans="2:8" ht="15.75" thickBot="1" x14ac:dyDescent="0.3">
      <c r="B28" s="41" t="s">
        <v>24</v>
      </c>
      <c r="C28" s="45">
        <f t="shared" ref="C28" si="5">+C29</f>
        <v>29500</v>
      </c>
      <c r="D28" s="45">
        <f>+D29+D30</f>
        <v>510</v>
      </c>
      <c r="E28" s="87"/>
      <c r="F28" s="45">
        <f>F29+F30</f>
        <v>30010</v>
      </c>
    </row>
    <row r="29" spans="2:8" x14ac:dyDescent="0.25">
      <c r="B29" s="10" t="s">
        <v>25</v>
      </c>
      <c r="C29" s="13">
        <v>29500</v>
      </c>
      <c r="D29" s="37">
        <v>200</v>
      </c>
      <c r="E29" s="9"/>
      <c r="F29" s="88">
        <f>SUM(C29:D29)</f>
        <v>29700</v>
      </c>
    </row>
    <row r="30" spans="2:8" x14ac:dyDescent="0.25">
      <c r="B30" s="53" t="s">
        <v>178</v>
      </c>
      <c r="C30" s="9"/>
      <c r="D30" s="9">
        <v>310</v>
      </c>
      <c r="E30" s="9"/>
      <c r="F30" s="9">
        <f>SUM(C30:D30)</f>
        <v>310</v>
      </c>
    </row>
    <row r="31" spans="2:8" ht="15.75" thickBot="1" x14ac:dyDescent="0.3">
      <c r="B31" s="48" t="s">
        <v>26</v>
      </c>
      <c r="C31" s="86">
        <f>SUM(C32:C55)</f>
        <v>97482</v>
      </c>
      <c r="D31" s="86">
        <f t="shared" ref="D31" si="6">SUM(D32:D55)</f>
        <v>8170</v>
      </c>
      <c r="E31" s="86"/>
      <c r="F31" s="86">
        <f>SUM(F32:F55)</f>
        <v>105652</v>
      </c>
    </row>
    <row r="32" spans="2:8" x14ac:dyDescent="0.25">
      <c r="B32" s="53" t="s">
        <v>27</v>
      </c>
      <c r="C32" s="9">
        <v>2000</v>
      </c>
      <c r="D32" s="9">
        <f>200+100</f>
        <v>300</v>
      </c>
      <c r="E32" s="9"/>
      <c r="F32" s="9">
        <f>SUM(C32:E32)</f>
        <v>2300</v>
      </c>
    </row>
    <row r="33" spans="2:9" x14ac:dyDescent="0.25">
      <c r="B33" s="53" t="s">
        <v>28</v>
      </c>
      <c r="C33" s="73">
        <v>27392</v>
      </c>
      <c r="D33" s="66">
        <v>500</v>
      </c>
      <c r="E33" s="9"/>
      <c r="F33" s="9">
        <f t="shared" ref="F33:F55" si="7">SUM(C33:E33)</f>
        <v>27892</v>
      </c>
    </row>
    <row r="34" spans="2:9" x14ac:dyDescent="0.25">
      <c r="B34" s="53" t="s">
        <v>29</v>
      </c>
      <c r="C34" s="73">
        <f>11000+1500</f>
        <v>12500</v>
      </c>
      <c r="D34" s="66">
        <v>100</v>
      </c>
      <c r="E34" s="9"/>
      <c r="F34" s="9">
        <f t="shared" si="7"/>
        <v>12600</v>
      </c>
    </row>
    <row r="35" spans="2:9" x14ac:dyDescent="0.25">
      <c r="B35" s="53" t="s">
        <v>30</v>
      </c>
      <c r="C35" s="73">
        <v>100</v>
      </c>
      <c r="D35" s="9"/>
      <c r="E35" s="9"/>
      <c r="F35" s="9">
        <f t="shared" si="7"/>
        <v>100</v>
      </c>
    </row>
    <row r="36" spans="2:9" x14ac:dyDescent="0.25">
      <c r="B36" s="53" t="s">
        <v>31</v>
      </c>
      <c r="C36" s="73">
        <v>21000</v>
      </c>
      <c r="D36" s="66">
        <v>2500</v>
      </c>
      <c r="E36" s="9"/>
      <c r="F36" s="9">
        <f t="shared" si="7"/>
        <v>23500</v>
      </c>
    </row>
    <row r="37" spans="2:9" x14ac:dyDescent="0.25">
      <c r="B37" s="53" t="s">
        <v>32</v>
      </c>
      <c r="C37" s="73">
        <v>6540</v>
      </c>
      <c r="D37" s="9"/>
      <c r="E37" s="9"/>
      <c r="F37" s="9">
        <f t="shared" si="7"/>
        <v>6540</v>
      </c>
      <c r="I37" s="56"/>
    </row>
    <row r="38" spans="2:9" x14ac:dyDescent="0.25">
      <c r="B38" s="53" t="s">
        <v>33</v>
      </c>
      <c r="C38" s="9">
        <v>500</v>
      </c>
      <c r="D38" s="9"/>
      <c r="E38" s="9"/>
      <c r="F38" s="9">
        <f t="shared" si="7"/>
        <v>500</v>
      </c>
    </row>
    <row r="39" spans="2:9" x14ac:dyDescent="0.25">
      <c r="B39" s="53" t="s">
        <v>34</v>
      </c>
      <c r="C39" s="9">
        <v>550</v>
      </c>
      <c r="D39" s="9"/>
      <c r="E39" s="9"/>
      <c r="F39" s="9">
        <f t="shared" si="7"/>
        <v>550</v>
      </c>
    </row>
    <row r="40" spans="2:9" x14ac:dyDescent="0.25">
      <c r="B40" s="53" t="s">
        <v>35</v>
      </c>
      <c r="C40" s="9">
        <v>6000</v>
      </c>
      <c r="D40" s="9"/>
      <c r="E40" s="9"/>
      <c r="F40" s="9">
        <f t="shared" si="7"/>
        <v>6000</v>
      </c>
    </row>
    <row r="41" spans="2:9" x14ac:dyDescent="0.25">
      <c r="B41" s="53" t="s">
        <v>36</v>
      </c>
      <c r="C41" s="9">
        <v>3600</v>
      </c>
      <c r="D41" s="9">
        <v>3600</v>
      </c>
      <c r="E41" s="9"/>
      <c r="F41" s="9">
        <f t="shared" si="7"/>
        <v>7200</v>
      </c>
    </row>
    <row r="42" spans="2:9" x14ac:dyDescent="0.25">
      <c r="B42" s="53" t="s">
        <v>37</v>
      </c>
      <c r="C42" s="9">
        <v>6600</v>
      </c>
      <c r="D42" s="9"/>
      <c r="E42" s="9"/>
      <c r="F42" s="9">
        <f t="shared" si="7"/>
        <v>6600</v>
      </c>
    </row>
    <row r="43" spans="2:9" x14ac:dyDescent="0.25">
      <c r="B43" s="53" t="s">
        <v>38</v>
      </c>
      <c r="C43" s="9">
        <v>2700</v>
      </c>
      <c r="D43" s="9"/>
      <c r="E43" s="9"/>
      <c r="F43" s="9">
        <f t="shared" si="7"/>
        <v>2700</v>
      </c>
    </row>
    <row r="44" spans="2:9" x14ac:dyDescent="0.25">
      <c r="B44" s="53" t="s">
        <v>39</v>
      </c>
      <c r="C44" s="9">
        <v>1500</v>
      </c>
      <c r="D44" s="9"/>
      <c r="E44" s="9"/>
      <c r="F44" s="9">
        <f t="shared" si="7"/>
        <v>1500</v>
      </c>
    </row>
    <row r="45" spans="2:9" x14ac:dyDescent="0.25">
      <c r="B45" s="53" t="s">
        <v>40</v>
      </c>
      <c r="C45" s="9"/>
      <c r="D45" s="9"/>
      <c r="E45" s="9"/>
      <c r="F45" s="9">
        <f t="shared" si="7"/>
        <v>0</v>
      </c>
    </row>
    <row r="46" spans="2:9" x14ac:dyDescent="0.25">
      <c r="B46" s="53" t="s">
        <v>41</v>
      </c>
      <c r="C46" s="9">
        <v>600</v>
      </c>
      <c r="D46" s="9">
        <v>50</v>
      </c>
      <c r="E46" s="9"/>
      <c r="F46" s="9">
        <f t="shared" si="7"/>
        <v>650</v>
      </c>
    </row>
    <row r="47" spans="2:9" x14ac:dyDescent="0.25">
      <c r="B47" s="53" t="s">
        <v>42</v>
      </c>
      <c r="C47" s="9">
        <v>350</v>
      </c>
      <c r="D47" s="9"/>
      <c r="E47" s="9"/>
      <c r="F47" s="9">
        <f t="shared" si="7"/>
        <v>350</v>
      </c>
    </row>
    <row r="48" spans="2:9" x14ac:dyDescent="0.25">
      <c r="B48" s="53" t="s">
        <v>43</v>
      </c>
      <c r="C48" s="9">
        <v>550</v>
      </c>
      <c r="D48" s="9"/>
      <c r="E48" s="9"/>
      <c r="F48" s="9">
        <f t="shared" si="7"/>
        <v>550</v>
      </c>
    </row>
    <row r="49" spans="2:6" x14ac:dyDescent="0.25">
      <c r="B49" s="53" t="s">
        <v>44</v>
      </c>
      <c r="C49" s="9">
        <v>3800</v>
      </c>
      <c r="D49" s="9"/>
      <c r="E49" s="9"/>
      <c r="F49" s="9">
        <f t="shared" si="7"/>
        <v>3800</v>
      </c>
    </row>
    <row r="50" spans="2:6" x14ac:dyDescent="0.25">
      <c r="B50" s="53" t="s">
        <v>45</v>
      </c>
      <c r="C50" s="9">
        <v>1200</v>
      </c>
      <c r="D50" s="9"/>
      <c r="E50" s="9"/>
      <c r="F50" s="9">
        <f t="shared" si="7"/>
        <v>1200</v>
      </c>
    </row>
    <row r="51" spans="2:6" x14ac:dyDescent="0.25">
      <c r="B51" s="53" t="s">
        <v>46</v>
      </c>
      <c r="C51" s="9"/>
      <c r="D51" s="9">
        <v>280</v>
      </c>
      <c r="E51" s="9"/>
      <c r="F51" s="9">
        <f t="shared" si="7"/>
        <v>280</v>
      </c>
    </row>
    <row r="52" spans="2:6" x14ac:dyDescent="0.25">
      <c r="B52" s="53" t="s">
        <v>153</v>
      </c>
      <c r="C52" s="9"/>
      <c r="D52" s="9">
        <f>110+30</f>
        <v>140</v>
      </c>
      <c r="E52" s="9"/>
      <c r="F52" s="9">
        <f t="shared" si="7"/>
        <v>140</v>
      </c>
    </row>
    <row r="53" spans="2:6" x14ac:dyDescent="0.25">
      <c r="B53" s="53" t="s">
        <v>47</v>
      </c>
      <c r="C53" s="9"/>
      <c r="D53" s="9"/>
      <c r="E53" s="9"/>
      <c r="F53" s="9">
        <f t="shared" si="7"/>
        <v>0</v>
      </c>
    </row>
    <row r="54" spans="2:6" x14ac:dyDescent="0.25">
      <c r="B54" s="54" t="s">
        <v>48</v>
      </c>
      <c r="C54" s="9"/>
      <c r="D54" s="9">
        <f>200-20+50</f>
        <v>230</v>
      </c>
      <c r="E54" s="9"/>
      <c r="F54" s="9">
        <f t="shared" si="7"/>
        <v>230</v>
      </c>
    </row>
    <row r="55" spans="2:6" ht="15.75" thickBot="1" x14ac:dyDescent="0.3">
      <c r="B55" s="53" t="s">
        <v>49</v>
      </c>
      <c r="C55" s="55"/>
      <c r="D55" s="9">
        <f>150+100+50+50+20+100</f>
        <v>470</v>
      </c>
      <c r="E55" s="55"/>
      <c r="F55" s="9">
        <f t="shared" si="7"/>
        <v>470</v>
      </c>
    </row>
    <row r="56" spans="2:6" ht="15.75" thickBot="1" x14ac:dyDescent="0.3">
      <c r="B56" s="41" t="s">
        <v>50</v>
      </c>
      <c r="C56" s="42">
        <f>SUM(C57:C65)</f>
        <v>0</v>
      </c>
      <c r="D56" s="42">
        <f t="shared" ref="D56" si="8">SUM(D57:D65)</f>
        <v>1276</v>
      </c>
      <c r="E56" s="42"/>
      <c r="F56" s="44">
        <f>SUM(F57:F65)</f>
        <v>1276</v>
      </c>
    </row>
    <row r="57" spans="2:6" x14ac:dyDescent="0.25">
      <c r="B57" s="4" t="s">
        <v>51</v>
      </c>
      <c r="C57" s="7"/>
      <c r="D57" s="7">
        <v>0</v>
      </c>
      <c r="E57" s="7"/>
      <c r="F57" s="7">
        <f>SUM(C57:E57)</f>
        <v>0</v>
      </c>
    </row>
    <row r="58" spans="2:6" x14ac:dyDescent="0.25">
      <c r="B58" s="8" t="s">
        <v>52</v>
      </c>
      <c r="C58" s="9"/>
      <c r="D58" s="9">
        <v>150</v>
      </c>
      <c r="E58" s="9"/>
      <c r="F58" s="7">
        <f t="shared" ref="F58:F65" si="9">SUM(C58:E58)</f>
        <v>150</v>
      </c>
    </row>
    <row r="59" spans="2:6" x14ac:dyDescent="0.25">
      <c r="B59" s="8" t="s">
        <v>53</v>
      </c>
      <c r="C59" s="9"/>
      <c r="D59" s="9">
        <v>250</v>
      </c>
      <c r="E59" s="9"/>
      <c r="F59" s="7">
        <f t="shared" si="9"/>
        <v>250</v>
      </c>
    </row>
    <row r="60" spans="2:6" x14ac:dyDescent="0.25">
      <c r="B60" s="8" t="s">
        <v>54</v>
      </c>
      <c r="C60" s="9"/>
      <c r="D60" s="9">
        <v>100</v>
      </c>
      <c r="E60" s="9"/>
      <c r="F60" s="7">
        <f t="shared" si="9"/>
        <v>100</v>
      </c>
    </row>
    <row r="61" spans="2:6" x14ac:dyDescent="0.25">
      <c r="B61" s="8" t="s">
        <v>55</v>
      </c>
      <c r="C61" s="9"/>
      <c r="D61" s="9">
        <v>150</v>
      </c>
      <c r="E61" s="9"/>
      <c r="F61" s="7">
        <f t="shared" si="9"/>
        <v>150</v>
      </c>
    </row>
    <row r="62" spans="2:6" x14ac:dyDescent="0.25">
      <c r="B62" s="8" t="s">
        <v>56</v>
      </c>
      <c r="C62" s="9"/>
      <c r="D62" s="9">
        <v>150</v>
      </c>
      <c r="E62" s="9"/>
      <c r="F62" s="7">
        <f t="shared" si="9"/>
        <v>150</v>
      </c>
    </row>
    <row r="63" spans="2:6" x14ac:dyDescent="0.25">
      <c r="B63" s="8" t="s">
        <v>57</v>
      </c>
      <c r="C63" s="9"/>
      <c r="D63" s="9">
        <v>150</v>
      </c>
      <c r="E63" s="9"/>
      <c r="F63" s="7">
        <f t="shared" si="9"/>
        <v>150</v>
      </c>
    </row>
    <row r="64" spans="2:6" x14ac:dyDescent="0.25">
      <c r="B64" s="8" t="s">
        <v>58</v>
      </c>
      <c r="C64" s="9"/>
      <c r="D64" s="9">
        <v>50</v>
      </c>
      <c r="E64" s="9"/>
      <c r="F64" s="7">
        <f t="shared" si="9"/>
        <v>50</v>
      </c>
    </row>
    <row r="65" spans="2:6" ht="15.75" thickBot="1" x14ac:dyDescent="0.3">
      <c r="B65" s="12" t="s">
        <v>59</v>
      </c>
      <c r="C65" s="1"/>
      <c r="D65" s="1">
        <f>76+200</f>
        <v>276</v>
      </c>
      <c r="E65" s="1"/>
      <c r="F65" s="7">
        <f t="shared" si="9"/>
        <v>276</v>
      </c>
    </row>
    <row r="66" spans="2:6" ht="15.75" thickBot="1" x14ac:dyDescent="0.3">
      <c r="B66" s="41" t="s">
        <v>60</v>
      </c>
      <c r="C66" s="42">
        <f>SUM(C67:C90)</f>
        <v>21150</v>
      </c>
      <c r="D66" s="42">
        <f t="shared" ref="D66" si="10">SUM(D67:D90)</f>
        <v>9344</v>
      </c>
      <c r="E66" s="42"/>
      <c r="F66" s="44">
        <f>SUM(F67:F90)</f>
        <v>30494</v>
      </c>
    </row>
    <row r="67" spans="2:6" x14ac:dyDescent="0.25">
      <c r="B67" s="14" t="s">
        <v>165</v>
      </c>
      <c r="C67" s="7"/>
      <c r="D67" s="7">
        <v>300</v>
      </c>
      <c r="E67" s="64"/>
      <c r="F67" s="2">
        <f t="shared" ref="F67:F90" si="11">SUM(C67:E67)</f>
        <v>300</v>
      </c>
    </row>
    <row r="68" spans="2:6" x14ac:dyDescent="0.25">
      <c r="B68" s="14" t="s">
        <v>61</v>
      </c>
      <c r="C68" s="7"/>
      <c r="D68" s="7">
        <f>300+250+50</f>
        <v>600</v>
      </c>
      <c r="E68" s="64"/>
      <c r="F68" s="2">
        <f t="shared" si="11"/>
        <v>600</v>
      </c>
    </row>
    <row r="69" spans="2:6" x14ac:dyDescent="0.25">
      <c r="B69" s="8" t="s">
        <v>62</v>
      </c>
      <c r="C69" s="9"/>
      <c r="D69" s="9">
        <v>480</v>
      </c>
      <c r="E69" s="64"/>
      <c r="F69" s="2">
        <f t="shared" si="11"/>
        <v>480</v>
      </c>
    </row>
    <row r="70" spans="2:6" x14ac:dyDescent="0.25">
      <c r="B70" s="8" t="s">
        <v>63</v>
      </c>
      <c r="C70" s="9">
        <v>3500</v>
      </c>
      <c r="D70" s="9"/>
      <c r="E70" s="64"/>
      <c r="F70" s="2">
        <f t="shared" si="11"/>
        <v>3500</v>
      </c>
    </row>
    <row r="71" spans="2:6" x14ac:dyDescent="0.25">
      <c r="B71" s="8" t="s">
        <v>64</v>
      </c>
      <c r="C71" s="73">
        <v>7500</v>
      </c>
      <c r="D71" s="9"/>
      <c r="E71" s="64"/>
      <c r="F71" s="2">
        <f t="shared" si="11"/>
        <v>7500</v>
      </c>
    </row>
    <row r="72" spans="2:6" x14ac:dyDescent="0.25">
      <c r="B72" s="8" t="s">
        <v>65</v>
      </c>
      <c r="C72" s="9"/>
      <c r="D72" s="66">
        <f>200+100+150</f>
        <v>450</v>
      </c>
      <c r="E72" s="64"/>
      <c r="F72" s="2">
        <f t="shared" si="11"/>
        <v>450</v>
      </c>
    </row>
    <row r="73" spans="2:6" x14ac:dyDescent="0.25">
      <c r="B73" s="8" t="s">
        <v>66</v>
      </c>
      <c r="C73" s="9">
        <v>4800</v>
      </c>
      <c r="D73" s="73">
        <f>450+250</f>
        <v>700</v>
      </c>
      <c r="E73" s="64"/>
      <c r="F73" s="2">
        <f t="shared" si="11"/>
        <v>5500</v>
      </c>
    </row>
    <row r="74" spans="2:6" x14ac:dyDescent="0.25">
      <c r="B74" s="8" t="s">
        <v>67</v>
      </c>
      <c r="C74" s="9"/>
      <c r="D74" s="9">
        <f>400-150-50</f>
        <v>200</v>
      </c>
      <c r="E74" s="64"/>
      <c r="F74" s="2">
        <f t="shared" si="11"/>
        <v>200</v>
      </c>
    </row>
    <row r="75" spans="2:6" x14ac:dyDescent="0.25">
      <c r="B75" s="8" t="s">
        <v>68</v>
      </c>
      <c r="C75" s="9"/>
      <c r="D75" s="9">
        <f>100-100</f>
        <v>0</v>
      </c>
      <c r="E75" s="64"/>
      <c r="F75" s="2">
        <f t="shared" si="11"/>
        <v>0</v>
      </c>
    </row>
    <row r="76" spans="2:6" x14ac:dyDescent="0.25">
      <c r="B76" s="8" t="s">
        <v>69</v>
      </c>
      <c r="C76" s="9"/>
      <c r="D76" s="9">
        <v>100</v>
      </c>
      <c r="E76" s="64"/>
      <c r="F76" s="2">
        <f t="shared" si="11"/>
        <v>100</v>
      </c>
    </row>
    <row r="77" spans="2:6" x14ac:dyDescent="0.25">
      <c r="B77" s="8" t="s">
        <v>70</v>
      </c>
      <c r="C77" s="9"/>
      <c r="D77" s="9">
        <f>100+100</f>
        <v>200</v>
      </c>
      <c r="E77" s="64"/>
      <c r="F77" s="2">
        <f t="shared" si="11"/>
        <v>200</v>
      </c>
    </row>
    <row r="78" spans="2:6" x14ac:dyDescent="0.25">
      <c r="B78" s="8" t="s">
        <v>71</v>
      </c>
      <c r="C78" s="9"/>
      <c r="D78" s="9">
        <v>100</v>
      </c>
      <c r="E78" s="64"/>
      <c r="F78" s="2">
        <f t="shared" si="11"/>
        <v>100</v>
      </c>
    </row>
    <row r="79" spans="2:6" x14ac:dyDescent="0.25">
      <c r="B79" s="8" t="s">
        <v>72</v>
      </c>
      <c r="C79" s="9">
        <f>200-50</f>
        <v>150</v>
      </c>
      <c r="D79" s="9"/>
      <c r="E79" s="64"/>
      <c r="F79" s="2">
        <f t="shared" si="11"/>
        <v>150</v>
      </c>
    </row>
    <row r="80" spans="2:6" x14ac:dyDescent="0.25">
      <c r="B80" s="8" t="s">
        <v>73</v>
      </c>
      <c r="C80" s="9"/>
      <c r="D80" s="9">
        <v>600</v>
      </c>
      <c r="E80" s="64"/>
      <c r="F80" s="2">
        <f t="shared" si="11"/>
        <v>600</v>
      </c>
    </row>
    <row r="81" spans="2:6" x14ac:dyDescent="0.25">
      <c r="B81" s="8" t="s">
        <v>74</v>
      </c>
      <c r="C81" s="9"/>
      <c r="D81" s="9">
        <v>400</v>
      </c>
      <c r="E81" s="64"/>
      <c r="F81" s="2">
        <f t="shared" si="11"/>
        <v>400</v>
      </c>
    </row>
    <row r="82" spans="2:6" x14ac:dyDescent="0.25">
      <c r="B82" s="8" t="s">
        <v>75</v>
      </c>
      <c r="C82" s="9"/>
      <c r="D82" s="9">
        <v>50</v>
      </c>
      <c r="E82" s="64"/>
      <c r="F82" s="2">
        <f t="shared" si="11"/>
        <v>50</v>
      </c>
    </row>
    <row r="83" spans="2:6" x14ac:dyDescent="0.25">
      <c r="B83" s="8" t="s">
        <v>76</v>
      </c>
      <c r="C83" s="16"/>
      <c r="D83" s="9">
        <v>1000</v>
      </c>
      <c r="E83" s="64"/>
      <c r="F83" s="2">
        <f t="shared" si="11"/>
        <v>1000</v>
      </c>
    </row>
    <row r="84" spans="2:6" x14ac:dyDescent="0.25">
      <c r="B84" s="15" t="s">
        <v>77</v>
      </c>
      <c r="C84" s="16"/>
      <c r="D84" s="9">
        <v>150</v>
      </c>
      <c r="E84" s="64"/>
      <c r="F84" s="2">
        <f t="shared" si="11"/>
        <v>150</v>
      </c>
    </row>
    <row r="85" spans="2:6" x14ac:dyDescent="0.25">
      <c r="B85" s="6" t="s">
        <v>78</v>
      </c>
      <c r="C85" s="9"/>
      <c r="D85" s="9">
        <v>1500</v>
      </c>
      <c r="E85" s="64"/>
      <c r="F85" s="2">
        <f t="shared" si="11"/>
        <v>1500</v>
      </c>
    </row>
    <row r="86" spans="2:6" x14ac:dyDescent="0.25">
      <c r="B86" s="8" t="s">
        <v>79</v>
      </c>
      <c r="C86" s="9"/>
      <c r="D86" s="9">
        <f>600-250</f>
        <v>350</v>
      </c>
      <c r="E86" s="64"/>
      <c r="F86" s="2">
        <f t="shared" si="11"/>
        <v>350</v>
      </c>
    </row>
    <row r="87" spans="2:6" x14ac:dyDescent="0.25">
      <c r="B87" s="8" t="s">
        <v>80</v>
      </c>
      <c r="C87" s="9">
        <v>5200</v>
      </c>
      <c r="D87" s="9"/>
      <c r="E87" s="64"/>
      <c r="F87" s="2">
        <f t="shared" si="11"/>
        <v>5200</v>
      </c>
    </row>
    <row r="88" spans="2:6" x14ac:dyDescent="0.25">
      <c r="B88" s="8" t="s">
        <v>81</v>
      </c>
      <c r="C88" s="9"/>
      <c r="D88" s="9">
        <v>444</v>
      </c>
      <c r="E88" s="64"/>
      <c r="F88" s="2">
        <f t="shared" si="11"/>
        <v>444</v>
      </c>
    </row>
    <row r="89" spans="2:6" x14ac:dyDescent="0.25">
      <c r="B89" s="8" t="s">
        <v>82</v>
      </c>
      <c r="C89" s="9"/>
      <c r="D89" s="9">
        <v>100</v>
      </c>
      <c r="E89" s="64"/>
      <c r="F89" s="2">
        <f t="shared" si="11"/>
        <v>100</v>
      </c>
    </row>
    <row r="90" spans="2:6" ht="15.75" thickBot="1" x14ac:dyDescent="0.3">
      <c r="B90" s="12" t="s">
        <v>83</v>
      </c>
      <c r="C90" s="1"/>
      <c r="D90" s="1">
        <f>1800-280+100</f>
        <v>1620</v>
      </c>
      <c r="E90" s="37"/>
      <c r="F90" s="2">
        <f t="shared" si="11"/>
        <v>1620</v>
      </c>
    </row>
    <row r="91" spans="2:6" ht="15.75" thickBot="1" x14ac:dyDescent="0.3">
      <c r="B91" s="41" t="s">
        <v>84</v>
      </c>
      <c r="C91" s="45">
        <f>SUM(C92:C97)</f>
        <v>1650</v>
      </c>
      <c r="D91" s="45">
        <f t="shared" ref="D91:E91" si="12">SUM(D92:D97)</f>
        <v>7900</v>
      </c>
      <c r="E91" s="45">
        <f t="shared" si="12"/>
        <v>0</v>
      </c>
      <c r="F91" s="45">
        <f>SUM(F92:F97)</f>
        <v>9550</v>
      </c>
    </row>
    <row r="92" spans="2:6" x14ac:dyDescent="0.25">
      <c r="B92" s="6" t="s">
        <v>85</v>
      </c>
      <c r="C92" s="7">
        <f>500-450</f>
        <v>50</v>
      </c>
      <c r="D92" s="7">
        <v>50</v>
      </c>
      <c r="E92" s="64"/>
      <c r="F92" s="78">
        <f>SUM(C92:E92)</f>
        <v>100</v>
      </c>
    </row>
    <row r="93" spans="2:6" x14ac:dyDescent="0.25">
      <c r="B93" s="8" t="s">
        <v>86</v>
      </c>
      <c r="C93" s="9">
        <v>600</v>
      </c>
      <c r="D93" s="9"/>
      <c r="E93" s="64"/>
      <c r="F93" s="9">
        <f t="shared" ref="F93:F97" si="13">SUM(C93:E93)</f>
        <v>600</v>
      </c>
    </row>
    <row r="94" spans="2:6" x14ac:dyDescent="0.25">
      <c r="B94" s="8" t="s">
        <v>157</v>
      </c>
      <c r="C94" s="9"/>
      <c r="D94" s="9">
        <f>2000+800+1000</f>
        <v>3800</v>
      </c>
      <c r="E94" s="64"/>
      <c r="F94" s="9">
        <f t="shared" si="13"/>
        <v>3800</v>
      </c>
    </row>
    <row r="95" spans="2:6" x14ac:dyDescent="0.25">
      <c r="B95" s="8" t="s">
        <v>87</v>
      </c>
      <c r="C95" s="9">
        <v>1000</v>
      </c>
      <c r="D95" s="9">
        <f>200+300</f>
        <v>500</v>
      </c>
      <c r="E95" s="64"/>
      <c r="F95" s="9">
        <f t="shared" si="13"/>
        <v>1500</v>
      </c>
    </row>
    <row r="96" spans="2:6" x14ac:dyDescent="0.25">
      <c r="B96" s="8" t="s">
        <v>88</v>
      </c>
      <c r="C96" s="9"/>
      <c r="D96" s="9">
        <v>50</v>
      </c>
      <c r="E96" s="64"/>
      <c r="F96" s="9">
        <f t="shared" si="13"/>
        <v>50</v>
      </c>
    </row>
    <row r="97" spans="2:6" ht="15.75" thickBot="1" x14ac:dyDescent="0.3">
      <c r="B97" s="12" t="s">
        <v>89</v>
      </c>
      <c r="C97" s="1"/>
      <c r="D97" s="74">
        <v>3500</v>
      </c>
      <c r="E97" s="37"/>
      <c r="F97" s="2">
        <f t="shared" si="13"/>
        <v>3500</v>
      </c>
    </row>
    <row r="98" spans="2:6" ht="15.75" thickBot="1" x14ac:dyDescent="0.3">
      <c r="B98" s="41" t="s">
        <v>90</v>
      </c>
      <c r="C98" s="45">
        <f>SUM(C99:C122)</f>
        <v>24460</v>
      </c>
      <c r="D98" s="45">
        <f t="shared" ref="D98" si="14">SUM(D99:D122)</f>
        <v>1310</v>
      </c>
      <c r="E98" s="45"/>
      <c r="F98" s="45">
        <f>SUM(F99:F122)</f>
        <v>25770</v>
      </c>
    </row>
    <row r="99" spans="2:6" x14ac:dyDescent="0.25">
      <c r="B99" s="6" t="s">
        <v>91</v>
      </c>
      <c r="C99" s="75">
        <v>800</v>
      </c>
      <c r="D99" s="7"/>
      <c r="E99" s="7"/>
      <c r="F99" s="9">
        <f>SUM(C99:E99)</f>
        <v>800</v>
      </c>
    </row>
    <row r="100" spans="2:6" x14ac:dyDescent="0.25">
      <c r="B100" s="8" t="s">
        <v>92</v>
      </c>
      <c r="C100" s="73">
        <v>200</v>
      </c>
      <c r="D100" s="9"/>
      <c r="E100" s="9"/>
      <c r="F100" s="9">
        <f t="shared" ref="F100:F122" si="15">SUM(C100:E100)</f>
        <v>200</v>
      </c>
    </row>
    <row r="101" spans="2:6" x14ac:dyDescent="0.25">
      <c r="B101" s="8" t="s">
        <v>149</v>
      </c>
      <c r="C101" s="73">
        <v>1290</v>
      </c>
      <c r="D101" s="9"/>
      <c r="E101" s="9"/>
      <c r="F101" s="9">
        <f t="shared" si="15"/>
        <v>1290</v>
      </c>
    </row>
    <row r="102" spans="2:6" x14ac:dyDescent="0.25">
      <c r="B102" s="8" t="s">
        <v>93</v>
      </c>
      <c r="C102" s="73">
        <v>200</v>
      </c>
      <c r="D102" s="9"/>
      <c r="E102" s="9"/>
      <c r="F102" s="9">
        <f t="shared" si="15"/>
        <v>200</v>
      </c>
    </row>
    <row r="103" spans="2:6" x14ac:dyDescent="0.25">
      <c r="B103" s="8" t="s">
        <v>94</v>
      </c>
      <c r="C103" s="73">
        <v>800</v>
      </c>
      <c r="D103" s="9"/>
      <c r="E103" s="9"/>
      <c r="F103" s="9">
        <f t="shared" si="15"/>
        <v>800</v>
      </c>
    </row>
    <row r="104" spans="2:6" x14ac:dyDescent="0.25">
      <c r="B104" s="8" t="s">
        <v>95</v>
      </c>
      <c r="C104" s="73">
        <v>300</v>
      </c>
      <c r="D104" s="9"/>
      <c r="E104" s="9"/>
      <c r="F104" s="9">
        <f t="shared" si="15"/>
        <v>300</v>
      </c>
    </row>
    <row r="105" spans="2:6" x14ac:dyDescent="0.25">
      <c r="B105" s="8" t="s">
        <v>96</v>
      </c>
      <c r="C105" s="73">
        <v>1250</v>
      </c>
      <c r="D105" s="9">
        <v>10</v>
      </c>
      <c r="E105" s="9"/>
      <c r="F105" s="9">
        <f t="shared" si="15"/>
        <v>1260</v>
      </c>
    </row>
    <row r="106" spans="2:6" x14ac:dyDescent="0.25">
      <c r="B106" s="8" t="s">
        <v>160</v>
      </c>
      <c r="C106" s="73">
        <v>0</v>
      </c>
      <c r="D106" s="9"/>
      <c r="E106" s="9"/>
      <c r="F106" s="9">
        <f t="shared" si="15"/>
        <v>0</v>
      </c>
    </row>
    <row r="107" spans="2:6" x14ac:dyDescent="0.25">
      <c r="B107" s="8" t="s">
        <v>97</v>
      </c>
      <c r="C107" s="73">
        <v>1200</v>
      </c>
      <c r="D107" s="9"/>
      <c r="E107" s="9"/>
      <c r="F107" s="9">
        <f t="shared" si="15"/>
        <v>1200</v>
      </c>
    </row>
    <row r="108" spans="2:6" x14ac:dyDescent="0.25">
      <c r="B108" s="8" t="s">
        <v>98</v>
      </c>
      <c r="C108" s="73">
        <v>1200</v>
      </c>
      <c r="D108" s="9"/>
      <c r="E108" s="9"/>
      <c r="F108" s="9">
        <f t="shared" si="15"/>
        <v>1200</v>
      </c>
    </row>
    <row r="109" spans="2:6" x14ac:dyDescent="0.25">
      <c r="B109" s="8" t="s">
        <v>99</v>
      </c>
      <c r="C109" s="9">
        <v>5000</v>
      </c>
      <c r="D109" s="9"/>
      <c r="E109" s="9"/>
      <c r="F109" s="9">
        <f t="shared" si="15"/>
        <v>5000</v>
      </c>
    </row>
    <row r="110" spans="2:6" x14ac:dyDescent="0.25">
      <c r="B110" s="8" t="s">
        <v>100</v>
      </c>
      <c r="C110" s="9"/>
      <c r="D110" s="9">
        <v>100</v>
      </c>
      <c r="E110" s="9"/>
      <c r="F110" s="9">
        <f t="shared" si="15"/>
        <v>100</v>
      </c>
    </row>
    <row r="111" spans="2:6" x14ac:dyDescent="0.25">
      <c r="B111" s="8" t="s">
        <v>161</v>
      </c>
      <c r="C111" s="9"/>
      <c r="D111" s="9"/>
      <c r="E111" s="9"/>
      <c r="F111" s="9">
        <f t="shared" si="15"/>
        <v>0</v>
      </c>
    </row>
    <row r="112" spans="2:6" x14ac:dyDescent="0.25">
      <c r="B112" s="8" t="s">
        <v>101</v>
      </c>
      <c r="C112" s="73">
        <v>900</v>
      </c>
      <c r="D112" s="9"/>
      <c r="E112" s="9"/>
      <c r="F112" s="9">
        <f t="shared" si="15"/>
        <v>900</v>
      </c>
    </row>
    <row r="113" spans="2:10" x14ac:dyDescent="0.25">
      <c r="B113" s="8" t="s">
        <v>102</v>
      </c>
      <c r="C113" s="73">
        <v>1200</v>
      </c>
      <c r="D113" s="9"/>
      <c r="E113" s="9"/>
      <c r="F113" s="9">
        <f t="shared" si="15"/>
        <v>1200</v>
      </c>
    </row>
    <row r="114" spans="2:10" x14ac:dyDescent="0.25">
      <c r="B114" s="8" t="s">
        <v>103</v>
      </c>
      <c r="C114" s="73">
        <v>100</v>
      </c>
      <c r="D114" s="9"/>
      <c r="E114" s="9"/>
      <c r="F114" s="9">
        <f t="shared" si="15"/>
        <v>100</v>
      </c>
    </row>
    <row r="115" spans="2:10" x14ac:dyDescent="0.25">
      <c r="B115" s="8" t="s">
        <v>104</v>
      </c>
      <c r="C115" s="9">
        <v>500</v>
      </c>
      <c r="D115" s="9"/>
      <c r="E115" s="9"/>
      <c r="F115" s="9">
        <f t="shared" si="15"/>
        <v>500</v>
      </c>
    </row>
    <row r="116" spans="2:10" x14ac:dyDescent="0.25">
      <c r="B116" s="8" t="s">
        <v>105</v>
      </c>
      <c r="C116" s="73">
        <v>200</v>
      </c>
      <c r="D116" s="9"/>
      <c r="E116" s="9"/>
      <c r="F116" s="9">
        <f t="shared" si="15"/>
        <v>200</v>
      </c>
    </row>
    <row r="117" spans="2:10" x14ac:dyDescent="0.25">
      <c r="B117" s="8" t="s">
        <v>106</v>
      </c>
      <c r="C117" s="73">
        <v>1200</v>
      </c>
      <c r="D117" s="9"/>
      <c r="E117" s="9"/>
      <c r="F117" s="9">
        <f t="shared" si="15"/>
        <v>1200</v>
      </c>
    </row>
    <row r="118" spans="2:10" x14ac:dyDescent="0.25">
      <c r="B118" s="8" t="s">
        <v>107</v>
      </c>
      <c r="C118" s="73">
        <v>4100</v>
      </c>
      <c r="D118" s="9"/>
      <c r="E118" s="9"/>
      <c r="F118" s="9">
        <f t="shared" si="15"/>
        <v>4100</v>
      </c>
    </row>
    <row r="119" spans="2:10" x14ac:dyDescent="0.25">
      <c r="B119" s="23" t="s">
        <v>108</v>
      </c>
      <c r="C119" s="9">
        <f>1850+340+258+64+120-250-300-82+220</f>
        <v>2220</v>
      </c>
      <c r="D119" s="9"/>
      <c r="E119" s="9"/>
      <c r="F119" s="9">
        <f t="shared" si="15"/>
        <v>2220</v>
      </c>
    </row>
    <row r="120" spans="2:10" x14ac:dyDescent="0.25">
      <c r="B120" s="8" t="s">
        <v>109</v>
      </c>
      <c r="C120" s="9">
        <v>900</v>
      </c>
      <c r="D120" s="9"/>
      <c r="E120" s="9"/>
      <c r="F120" s="9">
        <f t="shared" si="15"/>
        <v>900</v>
      </c>
    </row>
    <row r="121" spans="2:10" x14ac:dyDescent="0.25">
      <c r="B121" s="8" t="s">
        <v>110</v>
      </c>
      <c r="C121" s="9"/>
      <c r="D121" s="9">
        <v>1200</v>
      </c>
      <c r="E121" s="9"/>
      <c r="F121" s="9">
        <f t="shared" si="15"/>
        <v>1200</v>
      </c>
      <c r="J121" s="56"/>
    </row>
    <row r="122" spans="2:10" ht="15.75" thickBot="1" x14ac:dyDescent="0.3">
      <c r="B122" s="12" t="s">
        <v>111</v>
      </c>
      <c r="C122" s="36">
        <v>900</v>
      </c>
      <c r="D122" s="1"/>
      <c r="E122" s="36"/>
      <c r="F122" s="9">
        <f t="shared" si="15"/>
        <v>900</v>
      </c>
    </row>
    <row r="123" spans="2:10" ht="15.75" thickBot="1" x14ac:dyDescent="0.3">
      <c r="B123" s="41" t="s">
        <v>112</v>
      </c>
      <c r="C123" s="45">
        <f>SUM(C124:C144)</f>
        <v>174113</v>
      </c>
      <c r="D123" s="45">
        <f t="shared" ref="D123" si="16">SUM(D124:D144)</f>
        <v>4970</v>
      </c>
      <c r="E123" s="45"/>
      <c r="F123" s="45">
        <f>SUM(F124:F144)</f>
        <v>179083</v>
      </c>
      <c r="J123" s="56"/>
    </row>
    <row r="124" spans="2:10" x14ac:dyDescent="0.25">
      <c r="B124" s="6" t="s">
        <v>113</v>
      </c>
      <c r="C124" s="7">
        <v>5700</v>
      </c>
      <c r="D124" s="7">
        <v>150</v>
      </c>
      <c r="E124" s="7"/>
      <c r="F124" s="9">
        <f>SUM(C124:E124)</f>
        <v>5850</v>
      </c>
    </row>
    <row r="125" spans="2:10" x14ac:dyDescent="0.25">
      <c r="B125" s="8" t="s">
        <v>114</v>
      </c>
      <c r="C125" s="73">
        <v>350</v>
      </c>
      <c r="D125" s="9"/>
      <c r="E125" s="9"/>
      <c r="F125" s="9">
        <f t="shared" ref="F125:F144" si="17">SUM(C125:E125)</f>
        <v>350</v>
      </c>
    </row>
    <row r="126" spans="2:10" x14ac:dyDescent="0.25">
      <c r="B126" s="8" t="s">
        <v>162</v>
      </c>
      <c r="C126" s="73">
        <v>100</v>
      </c>
      <c r="D126" s="9"/>
      <c r="E126" s="9"/>
      <c r="F126" s="9">
        <f t="shared" si="17"/>
        <v>100</v>
      </c>
    </row>
    <row r="127" spans="2:10" x14ac:dyDescent="0.25">
      <c r="B127" s="8" t="s">
        <v>115</v>
      </c>
      <c r="C127" s="73">
        <v>700</v>
      </c>
      <c r="D127" s="9"/>
      <c r="E127" s="9"/>
      <c r="F127" s="9">
        <f t="shared" si="17"/>
        <v>700</v>
      </c>
    </row>
    <row r="128" spans="2:10" x14ac:dyDescent="0.25">
      <c r="B128" s="8" t="s">
        <v>116</v>
      </c>
      <c r="C128" s="9"/>
      <c r="D128" s="9">
        <v>20</v>
      </c>
      <c r="E128" s="9"/>
      <c r="F128" s="9">
        <f t="shared" si="17"/>
        <v>20</v>
      </c>
    </row>
    <row r="129" spans="2:6" x14ac:dyDescent="0.25">
      <c r="B129" s="8" t="s">
        <v>117</v>
      </c>
      <c r="C129" s="9"/>
      <c r="D129" s="9">
        <v>200</v>
      </c>
      <c r="E129" s="9"/>
      <c r="F129" s="9">
        <f t="shared" si="17"/>
        <v>200</v>
      </c>
    </row>
    <row r="130" spans="2:6" x14ac:dyDescent="0.25">
      <c r="B130" s="8" t="s">
        <v>118</v>
      </c>
      <c r="C130" s="9"/>
      <c r="D130" s="9">
        <v>500</v>
      </c>
      <c r="E130" s="9"/>
      <c r="F130" s="9">
        <f t="shared" si="17"/>
        <v>500</v>
      </c>
    </row>
    <row r="131" spans="2:6" x14ac:dyDescent="0.25">
      <c r="B131" s="8" t="s">
        <v>119</v>
      </c>
      <c r="C131" s="73">
        <f>8500+1500+72</f>
        <v>10072</v>
      </c>
      <c r="D131" s="9"/>
      <c r="E131" s="9"/>
      <c r="F131" s="9">
        <f t="shared" si="17"/>
        <v>10072</v>
      </c>
    </row>
    <row r="132" spans="2:6" x14ac:dyDescent="0.25">
      <c r="B132" s="8" t="s">
        <v>163</v>
      </c>
      <c r="C132" s="9">
        <v>900</v>
      </c>
      <c r="D132" s="9"/>
      <c r="E132" s="9"/>
      <c r="F132" s="9">
        <f t="shared" si="17"/>
        <v>900</v>
      </c>
    </row>
    <row r="133" spans="2:6" x14ac:dyDescent="0.25">
      <c r="B133" s="8" t="s">
        <v>120</v>
      </c>
      <c r="C133" s="9">
        <v>1200</v>
      </c>
      <c r="D133" s="9"/>
      <c r="E133" s="9"/>
      <c r="F133" s="9">
        <f t="shared" si="17"/>
        <v>1200</v>
      </c>
    </row>
    <row r="134" spans="2:6" x14ac:dyDescent="0.25">
      <c r="B134" s="23" t="s">
        <v>121</v>
      </c>
      <c r="C134" s="73">
        <f>21800+5000</f>
        <v>26800</v>
      </c>
      <c r="D134" s="9">
        <f>1000-200</f>
        <v>800</v>
      </c>
      <c r="E134" s="9"/>
      <c r="F134" s="9">
        <f t="shared" si="17"/>
        <v>27600</v>
      </c>
    </row>
    <row r="135" spans="2:6" x14ac:dyDescent="0.25">
      <c r="B135" s="8" t="s">
        <v>122</v>
      </c>
      <c r="C135" s="66">
        <v>53648</v>
      </c>
      <c r="D135" s="9">
        <f>1000-200</f>
        <v>800</v>
      </c>
      <c r="E135" s="66"/>
      <c r="F135" s="9">
        <f t="shared" si="17"/>
        <v>54448</v>
      </c>
    </row>
    <row r="136" spans="2:6" x14ac:dyDescent="0.25">
      <c r="B136" s="8" t="s">
        <v>158</v>
      </c>
      <c r="C136" s="66">
        <f>33077+3200+29000</f>
        <v>65277</v>
      </c>
      <c r="D136" s="9">
        <v>500</v>
      </c>
      <c r="E136" s="9"/>
      <c r="F136" s="9">
        <f t="shared" si="17"/>
        <v>65777</v>
      </c>
    </row>
    <row r="137" spans="2:6" x14ac:dyDescent="0.25">
      <c r="B137" s="8" t="s">
        <v>123</v>
      </c>
      <c r="C137" s="90">
        <v>1200</v>
      </c>
      <c r="D137" s="90">
        <v>1000</v>
      </c>
      <c r="E137" s="13"/>
      <c r="F137" s="9">
        <f t="shared" si="17"/>
        <v>2200</v>
      </c>
    </row>
    <row r="138" spans="2:6" x14ac:dyDescent="0.25">
      <c r="B138" s="8" t="s">
        <v>124</v>
      </c>
      <c r="C138" s="9">
        <v>3100</v>
      </c>
      <c r="D138" s="9"/>
      <c r="E138" s="9"/>
      <c r="F138" s="9">
        <f t="shared" si="17"/>
        <v>3100</v>
      </c>
    </row>
    <row r="139" spans="2:6" x14ac:dyDescent="0.25">
      <c r="B139" s="8" t="s">
        <v>125</v>
      </c>
      <c r="C139" s="9">
        <v>1800</v>
      </c>
      <c r="D139" s="9"/>
      <c r="E139" s="9"/>
      <c r="F139" s="9">
        <f t="shared" si="17"/>
        <v>1800</v>
      </c>
    </row>
    <row r="140" spans="2:6" x14ac:dyDescent="0.25">
      <c r="B140" s="8" t="s">
        <v>164</v>
      </c>
      <c r="C140" s="9">
        <v>166</v>
      </c>
      <c r="D140" s="9"/>
      <c r="E140" s="9"/>
      <c r="F140" s="9">
        <f t="shared" si="17"/>
        <v>166</v>
      </c>
    </row>
    <row r="141" spans="2:6" x14ac:dyDescent="0.25">
      <c r="B141" s="8" t="s">
        <v>126</v>
      </c>
      <c r="C141" s="9">
        <v>1200</v>
      </c>
      <c r="D141" s="9">
        <v>100</v>
      </c>
      <c r="E141" s="9"/>
      <c r="F141" s="9">
        <f t="shared" si="17"/>
        <v>1300</v>
      </c>
    </row>
    <row r="142" spans="2:6" x14ac:dyDescent="0.25">
      <c r="B142" s="8" t="s">
        <v>127</v>
      </c>
      <c r="C142" s="9">
        <v>1600</v>
      </c>
      <c r="D142" s="9"/>
      <c r="E142" s="9"/>
      <c r="F142" s="9">
        <f t="shared" si="17"/>
        <v>1600</v>
      </c>
    </row>
    <row r="143" spans="2:6" x14ac:dyDescent="0.25">
      <c r="B143" s="8" t="s">
        <v>128</v>
      </c>
      <c r="C143" s="66">
        <f>400-100</f>
        <v>300</v>
      </c>
      <c r="D143" s="9">
        <v>100</v>
      </c>
      <c r="E143" s="9"/>
      <c r="F143" s="9">
        <f>SUM(C143:E143)</f>
        <v>400</v>
      </c>
    </row>
    <row r="144" spans="2:6" ht="15.75" thickBot="1" x14ac:dyDescent="0.3">
      <c r="B144" s="17" t="s">
        <v>129</v>
      </c>
      <c r="C144" s="1"/>
      <c r="D144" s="1">
        <f>600+200</f>
        <v>800</v>
      </c>
      <c r="E144" s="1"/>
      <c r="F144" s="9">
        <f t="shared" si="17"/>
        <v>800</v>
      </c>
    </row>
    <row r="145" spans="2:6" ht="15.75" thickBot="1" x14ac:dyDescent="0.3">
      <c r="B145" s="46" t="s">
        <v>152</v>
      </c>
      <c r="C145" s="43"/>
      <c r="D145" s="85">
        <v>1985</v>
      </c>
      <c r="E145" s="79"/>
      <c r="F145" s="72">
        <f>SUM(C145:E145)</f>
        <v>1985</v>
      </c>
    </row>
    <row r="146" spans="2:6" ht="15.75" thickBot="1" x14ac:dyDescent="0.3">
      <c r="B146" s="52" t="s">
        <v>130</v>
      </c>
      <c r="C146" s="49"/>
      <c r="D146" s="80">
        <f>1500+1500</f>
        <v>3000</v>
      </c>
      <c r="E146" s="81"/>
      <c r="F146" s="72">
        <f t="shared" ref="F146" si="18">SUM(C146:E146)</f>
        <v>3000</v>
      </c>
    </row>
    <row r="147" spans="2:6" ht="15.75" thickBot="1" x14ac:dyDescent="0.3">
      <c r="B147" s="47" t="s">
        <v>151</v>
      </c>
      <c r="C147" s="65">
        <f>SUM(C148:C151)</f>
        <v>2000</v>
      </c>
      <c r="D147" s="83">
        <f t="shared" ref="D147" si="19">SUM(D148:D151)</f>
        <v>600</v>
      </c>
      <c r="E147" s="84"/>
      <c r="F147" s="72">
        <f>SUM(F148:F151)</f>
        <v>2600</v>
      </c>
    </row>
    <row r="148" spans="2:6" x14ac:dyDescent="0.25">
      <c r="B148" s="6" t="s">
        <v>131</v>
      </c>
      <c r="C148" s="7">
        <v>1800</v>
      </c>
      <c r="D148" s="7"/>
      <c r="E148" s="7"/>
      <c r="F148" s="9">
        <f>SUM(C148:D148)</f>
        <v>1800</v>
      </c>
    </row>
    <row r="149" spans="2:6" x14ac:dyDescent="0.25">
      <c r="B149" s="8" t="s">
        <v>132</v>
      </c>
      <c r="C149" s="9"/>
      <c r="D149" s="9">
        <v>100</v>
      </c>
      <c r="E149" s="9"/>
      <c r="F149" s="9">
        <f>SUM(C149:D149)</f>
        <v>100</v>
      </c>
    </row>
    <row r="150" spans="2:6" x14ac:dyDescent="0.25">
      <c r="B150" s="12" t="s">
        <v>133</v>
      </c>
      <c r="C150" s="9">
        <v>200</v>
      </c>
      <c r="D150" s="9">
        <f>300+100</f>
        <v>400</v>
      </c>
      <c r="E150" s="9"/>
      <c r="F150" s="9">
        <f t="shared" ref="F150:F151" si="20">SUM(C150:D150)</f>
        <v>600</v>
      </c>
    </row>
    <row r="151" spans="2:6" ht="15.75" thickBot="1" x14ac:dyDescent="0.3">
      <c r="B151" s="18" t="s">
        <v>134</v>
      </c>
      <c r="C151" s="1"/>
      <c r="D151" s="1">
        <v>100</v>
      </c>
      <c r="E151" s="1"/>
      <c r="F151" s="9">
        <f t="shared" si="20"/>
        <v>100</v>
      </c>
    </row>
    <row r="152" spans="2:6" ht="15.75" thickBot="1" x14ac:dyDescent="0.3">
      <c r="B152" s="50" t="s">
        <v>150</v>
      </c>
      <c r="C152" s="42"/>
      <c r="D152" s="43">
        <f>1000-100</f>
        <v>900</v>
      </c>
      <c r="E152" s="82"/>
      <c r="F152" s="44">
        <f>SUM(C152:D152)</f>
        <v>900</v>
      </c>
    </row>
    <row r="153" spans="2:6" ht="15.75" thickBot="1" x14ac:dyDescent="0.3">
      <c r="B153" s="41" t="s">
        <v>135</v>
      </c>
      <c r="C153" s="42"/>
      <c r="D153" s="43">
        <f>200+400+100</f>
        <v>700</v>
      </c>
      <c r="E153" s="82"/>
      <c r="F153" s="44">
        <f>SUM(C153:D153)</f>
        <v>700</v>
      </c>
    </row>
    <row r="154" spans="2:6" ht="16.5" thickBot="1" x14ac:dyDescent="0.3">
      <c r="B154" s="29" t="s">
        <v>136</v>
      </c>
      <c r="C154" s="30">
        <f>SUM(C19,C20,C21,C28,C31,C56,C66,C91,C98,C123,C145,C146,C147,C152,C153,C22)</f>
        <v>2702384</v>
      </c>
      <c r="D154" s="30">
        <f>SUM(D19,D20,D21,D28,D31,D56,D66,D91,D98,D123,D145,D146,D147,D152,D153,D22)</f>
        <v>67615</v>
      </c>
      <c r="E154" s="30">
        <f>SUM(E19,E20,E21,E28,E31,E56,E66,E91,E98,E123,E145,E146,E147,E152,E153,E22)</f>
        <v>288</v>
      </c>
      <c r="F154" s="30">
        <f>SUM(F19,F20,F21,F22,F28,F31,F56,F66,F91,F98,F123,F145,F146,F147,F152,F153)</f>
        <v>2770287</v>
      </c>
    </row>
    <row r="155" spans="2:6" x14ac:dyDescent="0.25">
      <c r="B155" s="19" t="s">
        <v>166</v>
      </c>
      <c r="C155" s="20"/>
      <c r="D155" s="9"/>
      <c r="E155" s="77"/>
      <c r="F155" s="2">
        <f>SUM(C155:E155)</f>
        <v>0</v>
      </c>
    </row>
    <row r="156" spans="2:6" x14ac:dyDescent="0.25">
      <c r="B156" s="19" t="s">
        <v>137</v>
      </c>
      <c r="C156" s="20"/>
      <c r="D156" s="9"/>
      <c r="E156" s="77">
        <v>2797</v>
      </c>
      <c r="F156" s="2">
        <f t="shared" ref="F156:F169" si="21">SUM(C156:E156)</f>
        <v>2797</v>
      </c>
    </row>
    <row r="157" spans="2:6" x14ac:dyDescent="0.25">
      <c r="B157" s="19" t="s">
        <v>156</v>
      </c>
      <c r="C157" s="20"/>
      <c r="D157" s="9"/>
      <c r="E157" s="77"/>
      <c r="F157" s="2">
        <f t="shared" si="21"/>
        <v>0</v>
      </c>
    </row>
    <row r="158" spans="2:6" x14ac:dyDescent="0.25">
      <c r="B158" s="21" t="s">
        <v>138</v>
      </c>
      <c r="C158" s="20"/>
      <c r="D158" s="9"/>
      <c r="E158" s="77"/>
      <c r="F158" s="2">
        <f t="shared" si="21"/>
        <v>0</v>
      </c>
    </row>
    <row r="159" spans="2:6" x14ac:dyDescent="0.25">
      <c r="B159" s="21" t="s">
        <v>175</v>
      </c>
      <c r="C159" s="20"/>
      <c r="D159" s="9"/>
      <c r="E159" s="77"/>
      <c r="F159" s="2">
        <f t="shared" si="21"/>
        <v>0</v>
      </c>
    </row>
    <row r="160" spans="2:6" x14ac:dyDescent="0.25">
      <c r="B160" s="21" t="s">
        <v>139</v>
      </c>
      <c r="C160" s="20"/>
      <c r="D160" s="9"/>
      <c r="E160" s="77"/>
      <c r="F160" s="2">
        <f t="shared" si="21"/>
        <v>0</v>
      </c>
    </row>
    <row r="161" spans="1:10" x14ac:dyDescent="0.25">
      <c r="B161" s="21" t="s">
        <v>140</v>
      </c>
      <c r="C161" s="20"/>
      <c r="D161" s="9">
        <v>200</v>
      </c>
      <c r="E161" s="77"/>
      <c r="F161" s="2">
        <f t="shared" si="21"/>
        <v>200</v>
      </c>
    </row>
    <row r="162" spans="1:10" x14ac:dyDescent="0.25">
      <c r="B162" s="19" t="s">
        <v>141</v>
      </c>
      <c r="C162" s="20"/>
      <c r="D162" s="9">
        <v>600</v>
      </c>
      <c r="E162" s="77"/>
      <c r="F162" s="2">
        <f t="shared" si="21"/>
        <v>600</v>
      </c>
    </row>
    <row r="163" spans="1:10" x14ac:dyDescent="0.25">
      <c r="B163" s="21" t="s">
        <v>142</v>
      </c>
      <c r="C163" s="20"/>
      <c r="D163" s="9">
        <v>400</v>
      </c>
      <c r="E163" s="77"/>
      <c r="F163" s="2">
        <f t="shared" si="21"/>
        <v>400</v>
      </c>
    </row>
    <row r="164" spans="1:10" x14ac:dyDescent="0.25">
      <c r="B164" s="21" t="s">
        <v>176</v>
      </c>
      <c r="C164" s="20"/>
      <c r="D164" s="9">
        <v>35</v>
      </c>
      <c r="E164" s="77"/>
      <c r="F164" s="2">
        <f t="shared" si="21"/>
        <v>35</v>
      </c>
    </row>
    <row r="165" spans="1:10" x14ac:dyDescent="0.25">
      <c r="B165" s="19" t="s">
        <v>143</v>
      </c>
      <c r="C165" s="20"/>
      <c r="D165" s="9">
        <v>300</v>
      </c>
      <c r="E165" s="77"/>
      <c r="F165" s="2">
        <f t="shared" si="21"/>
        <v>300</v>
      </c>
    </row>
    <row r="166" spans="1:10" x14ac:dyDescent="0.25">
      <c r="B166" s="22" t="s">
        <v>144</v>
      </c>
      <c r="C166" s="20"/>
      <c r="D166" s="9">
        <v>100</v>
      </c>
      <c r="E166" s="77"/>
      <c r="F166" s="2">
        <f t="shared" si="21"/>
        <v>100</v>
      </c>
    </row>
    <row r="167" spans="1:10" x14ac:dyDescent="0.25">
      <c r="B167" s="19" t="s">
        <v>145</v>
      </c>
      <c r="C167" s="20"/>
      <c r="D167" s="9">
        <v>100</v>
      </c>
      <c r="E167" s="77"/>
      <c r="F167" s="2">
        <f t="shared" si="21"/>
        <v>100</v>
      </c>
    </row>
    <row r="168" spans="1:10" x14ac:dyDescent="0.25">
      <c r="B168" s="19" t="s">
        <v>168</v>
      </c>
      <c r="C168" s="20"/>
      <c r="D168" s="9">
        <v>200</v>
      </c>
      <c r="E168" s="77"/>
      <c r="F168" s="2">
        <f t="shared" si="21"/>
        <v>200</v>
      </c>
    </row>
    <row r="169" spans="1:10" ht="15.75" thickBot="1" x14ac:dyDescent="0.3">
      <c r="B169" s="19" t="s">
        <v>146</v>
      </c>
      <c r="C169" s="20"/>
      <c r="D169" s="9">
        <v>50</v>
      </c>
      <c r="E169" s="77"/>
      <c r="F169" s="2">
        <f t="shared" si="21"/>
        <v>50</v>
      </c>
      <c r="J169">
        <v>2464285.3199999998</v>
      </c>
    </row>
    <row r="170" spans="1:10" ht="13.5" customHeight="1" thickBot="1" x14ac:dyDescent="0.3">
      <c r="B170" s="29" t="s">
        <v>147</v>
      </c>
      <c r="C170" s="30">
        <f t="shared" ref="C170:F170" si="22">SUM(C155:C169)</f>
        <v>0</v>
      </c>
      <c r="D170" s="30">
        <f t="shared" si="22"/>
        <v>1985</v>
      </c>
      <c r="E170" s="30">
        <f t="shared" si="22"/>
        <v>2797</v>
      </c>
      <c r="F170" s="30">
        <f t="shared" si="22"/>
        <v>4782</v>
      </c>
      <c r="J170">
        <v>15309521.359999999</v>
      </c>
    </row>
    <row r="171" spans="1:10" ht="16.5" customHeight="1" thickBot="1" x14ac:dyDescent="0.3">
      <c r="B171" s="34" t="s">
        <v>148</v>
      </c>
      <c r="C171" s="35">
        <f t="shared" ref="C171:F171" si="23">C154+C170</f>
        <v>2702384</v>
      </c>
      <c r="D171" s="35">
        <f t="shared" si="23"/>
        <v>69600</v>
      </c>
      <c r="E171" s="35">
        <f t="shared" si="23"/>
        <v>3085</v>
      </c>
      <c r="F171" s="35">
        <f t="shared" si="23"/>
        <v>2775069</v>
      </c>
      <c r="J171" s="56"/>
    </row>
    <row r="172" spans="1:10" ht="175.5" customHeight="1" x14ac:dyDescent="0.25">
      <c r="A172" s="89"/>
      <c r="B172" s="146" t="s">
        <v>187</v>
      </c>
      <c r="C172" s="146"/>
      <c r="D172" s="146"/>
      <c r="E172" s="146"/>
      <c r="F172" s="146"/>
    </row>
    <row r="173" spans="1:10" ht="21" customHeight="1" x14ac:dyDescent="0.25">
      <c r="D173" s="147" t="s">
        <v>179</v>
      </c>
      <c r="E173" s="147"/>
      <c r="F173" s="147"/>
    </row>
    <row r="174" spans="1:10" ht="1.5" customHeight="1" x14ac:dyDescent="0.25">
      <c r="D174" s="147" t="s">
        <v>180</v>
      </c>
      <c r="E174" s="147"/>
      <c r="F174" s="147"/>
    </row>
    <row r="175" spans="1:10" hidden="1" x14ac:dyDescent="0.25">
      <c r="C175" s="56"/>
      <c r="D175" s="147"/>
      <c r="E175" s="147"/>
      <c r="F175" s="147"/>
    </row>
  </sheetData>
  <mergeCells count="5">
    <mergeCell ref="B2:F2"/>
    <mergeCell ref="B3:F3"/>
    <mergeCell ref="B172:F172"/>
    <mergeCell ref="D173:F173"/>
    <mergeCell ref="D174:F175"/>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4"/>
  <sheetViews>
    <sheetView zoomScale="110" zoomScaleNormal="110" workbookViewId="0">
      <selection activeCell="C20" sqref="C20"/>
    </sheetView>
  </sheetViews>
  <sheetFormatPr defaultRowHeight="15" x14ac:dyDescent="0.25"/>
  <cols>
    <col min="1" max="1" width="54.7109375" customWidth="1"/>
    <col min="2" max="2" width="13.5703125" customWidth="1"/>
    <col min="3" max="3" width="12.7109375" customWidth="1"/>
  </cols>
  <sheetData>
    <row r="2" spans="1:3" x14ac:dyDescent="0.25">
      <c r="A2" s="148" t="s">
        <v>0</v>
      </c>
      <c r="B2" s="148"/>
      <c r="C2" s="148"/>
    </row>
    <row r="3" spans="1:3" x14ac:dyDescent="0.25">
      <c r="A3" s="149" t="s">
        <v>184</v>
      </c>
      <c r="B3" s="149"/>
      <c r="C3" s="149"/>
    </row>
    <row r="4" spans="1:3" ht="15.75" thickBot="1" x14ac:dyDescent="0.3">
      <c r="A4" s="59"/>
      <c r="B4" s="5" t="s">
        <v>1</v>
      </c>
      <c r="C4" s="92"/>
    </row>
    <row r="5" spans="1:3" ht="43.5" thickBot="1" x14ac:dyDescent="0.3">
      <c r="A5" s="24" t="s">
        <v>2</v>
      </c>
      <c r="B5" s="25" t="s">
        <v>5</v>
      </c>
      <c r="C5" s="57" t="s">
        <v>154</v>
      </c>
    </row>
    <row r="6" spans="1:3" ht="15.75" x14ac:dyDescent="0.25">
      <c r="A6" s="26" t="s">
        <v>6</v>
      </c>
      <c r="B6" s="28"/>
      <c r="C6" s="28"/>
    </row>
    <row r="7" spans="1:3" x14ac:dyDescent="0.25">
      <c r="A7" s="6" t="s">
        <v>9</v>
      </c>
      <c r="B7" s="2">
        <v>2666543</v>
      </c>
      <c r="C7" s="67" t="s">
        <v>7</v>
      </c>
    </row>
    <row r="8" spans="1:3" x14ac:dyDescent="0.25">
      <c r="A8" s="8" t="s">
        <v>10</v>
      </c>
      <c r="B8" s="2">
        <v>30703</v>
      </c>
      <c r="C8" s="67" t="s">
        <v>7</v>
      </c>
    </row>
    <row r="9" spans="1:3" x14ac:dyDescent="0.25">
      <c r="A9" s="8" t="s">
        <v>11</v>
      </c>
      <c r="B9" s="2">
        <v>56200</v>
      </c>
      <c r="C9" s="67" t="s">
        <v>8</v>
      </c>
    </row>
    <row r="10" spans="1:3" x14ac:dyDescent="0.25">
      <c r="A10" s="8" t="s">
        <v>169</v>
      </c>
      <c r="B10" s="2">
        <v>10277</v>
      </c>
      <c r="C10" s="67" t="s">
        <v>155</v>
      </c>
    </row>
    <row r="11" spans="1:3" x14ac:dyDescent="0.25">
      <c r="A11" s="8" t="s">
        <v>171</v>
      </c>
      <c r="B11" s="2">
        <v>0</v>
      </c>
      <c r="C11" s="67"/>
    </row>
    <row r="12" spans="1:3" x14ac:dyDescent="0.25">
      <c r="A12" s="8" t="s">
        <v>12</v>
      </c>
      <c r="B12" s="2">
        <v>0</v>
      </c>
      <c r="C12" s="67"/>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2775069</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2275944</v>
      </c>
      <c r="C19" s="63" t="s">
        <v>188</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5">
        <v>44724</v>
      </c>
      <c r="C22" s="69" t="s">
        <v>155</v>
      </c>
    </row>
    <row r="23" spans="1:3" x14ac:dyDescent="0.25">
      <c r="A23" s="6" t="s">
        <v>20</v>
      </c>
      <c r="B23" s="7">
        <v>600</v>
      </c>
      <c r="C23" s="60" t="s">
        <v>8</v>
      </c>
    </row>
    <row r="24" spans="1:3" x14ac:dyDescent="0.25">
      <c r="A24" s="8" t="s">
        <v>185</v>
      </c>
      <c r="B24" s="7">
        <v>17750</v>
      </c>
      <c r="C24" s="69" t="s">
        <v>155</v>
      </c>
    </row>
    <row r="25" spans="1:3" x14ac:dyDescent="0.25">
      <c r="A25" s="8" t="s">
        <v>22</v>
      </c>
      <c r="B25" s="7">
        <v>600</v>
      </c>
      <c r="C25" s="60" t="s">
        <v>155</v>
      </c>
    </row>
    <row r="26" spans="1:3" x14ac:dyDescent="0.25">
      <c r="A26" s="12" t="s">
        <v>23</v>
      </c>
      <c r="B26" s="7">
        <v>1500</v>
      </c>
      <c r="C26" s="60" t="s">
        <v>155</v>
      </c>
    </row>
    <row r="27" spans="1:3" ht="15.75" thickBot="1" x14ac:dyDescent="0.3">
      <c r="A27" s="8" t="s">
        <v>167</v>
      </c>
      <c r="B27" s="7">
        <v>24274</v>
      </c>
      <c r="C27" s="60" t="s">
        <v>155</v>
      </c>
    </row>
    <row r="28" spans="1:3" ht="15.75" thickBot="1" x14ac:dyDescent="0.3">
      <c r="A28" s="41" t="s">
        <v>24</v>
      </c>
      <c r="B28" s="45">
        <v>30010</v>
      </c>
      <c r="C28" s="60"/>
    </row>
    <row r="29" spans="1:3" x14ac:dyDescent="0.25">
      <c r="A29" s="10" t="s">
        <v>25</v>
      </c>
      <c r="B29" s="88">
        <v>29700</v>
      </c>
      <c r="C29" s="60" t="s">
        <v>155</v>
      </c>
    </row>
    <row r="30" spans="1:3" x14ac:dyDescent="0.25">
      <c r="A30" s="53" t="s">
        <v>178</v>
      </c>
      <c r="B30" s="9">
        <v>310</v>
      </c>
      <c r="C30" s="70" t="s">
        <v>8</v>
      </c>
    </row>
    <row r="31" spans="1:3" ht="15.75" thickBot="1" x14ac:dyDescent="0.3">
      <c r="A31" s="48" t="s">
        <v>26</v>
      </c>
      <c r="B31" s="86">
        <v>105652</v>
      </c>
      <c r="C31" s="70"/>
    </row>
    <row r="32" spans="1:3" x14ac:dyDescent="0.25">
      <c r="A32" s="71" t="s">
        <v>27</v>
      </c>
      <c r="B32" s="9">
        <v>2300</v>
      </c>
      <c r="C32" s="60" t="s">
        <v>155</v>
      </c>
    </row>
    <row r="33" spans="1:3" x14ac:dyDescent="0.25">
      <c r="A33" s="53" t="s">
        <v>28</v>
      </c>
      <c r="B33" s="9">
        <v>27892</v>
      </c>
      <c r="C33" s="60" t="s">
        <v>155</v>
      </c>
    </row>
    <row r="34" spans="1:3" x14ac:dyDescent="0.25">
      <c r="A34" s="53" t="s">
        <v>29</v>
      </c>
      <c r="B34" s="9">
        <v>12600</v>
      </c>
      <c r="C34" s="60" t="s">
        <v>155</v>
      </c>
    </row>
    <row r="35" spans="1:3" x14ac:dyDescent="0.25">
      <c r="A35" s="53" t="s">
        <v>30</v>
      </c>
      <c r="B35" s="9">
        <v>100</v>
      </c>
      <c r="C35" s="68"/>
    </row>
    <row r="36" spans="1:3" x14ac:dyDescent="0.25">
      <c r="A36" s="53" t="s">
        <v>31</v>
      </c>
      <c r="B36" s="9">
        <v>23500</v>
      </c>
      <c r="C36" s="69" t="s">
        <v>155</v>
      </c>
    </row>
    <row r="37" spans="1:3" x14ac:dyDescent="0.25">
      <c r="A37" s="53" t="s">
        <v>32</v>
      </c>
      <c r="B37" s="9">
        <v>6540</v>
      </c>
      <c r="C37" s="60" t="s">
        <v>7</v>
      </c>
    </row>
    <row r="38" spans="1:3" x14ac:dyDescent="0.25">
      <c r="A38" s="53" t="s">
        <v>33</v>
      </c>
      <c r="B38" s="9">
        <v>500</v>
      </c>
      <c r="C38" s="60" t="s">
        <v>7</v>
      </c>
    </row>
    <row r="39" spans="1:3" x14ac:dyDescent="0.25">
      <c r="A39" s="53" t="s">
        <v>34</v>
      </c>
      <c r="B39" s="9">
        <v>550</v>
      </c>
      <c r="C39" s="60" t="s">
        <v>7</v>
      </c>
    </row>
    <row r="40" spans="1:3" x14ac:dyDescent="0.25">
      <c r="A40" s="53" t="s">
        <v>35</v>
      </c>
      <c r="B40" s="9">
        <v>6000</v>
      </c>
      <c r="C40" s="60" t="s">
        <v>7</v>
      </c>
    </row>
    <row r="41" spans="1:3" x14ac:dyDescent="0.25">
      <c r="A41" s="53" t="s">
        <v>36</v>
      </c>
      <c r="B41" s="9">
        <v>7200</v>
      </c>
      <c r="C41" s="60" t="s">
        <v>155</v>
      </c>
    </row>
    <row r="42" spans="1:3" x14ac:dyDescent="0.25">
      <c r="A42" s="53" t="s">
        <v>37</v>
      </c>
      <c r="B42" s="9">
        <v>6600</v>
      </c>
      <c r="C42" s="60" t="s">
        <v>7</v>
      </c>
    </row>
    <row r="43" spans="1:3" x14ac:dyDescent="0.25">
      <c r="A43" s="53" t="s">
        <v>38</v>
      </c>
      <c r="B43" s="9">
        <v>2700</v>
      </c>
      <c r="C43" s="60" t="s">
        <v>7</v>
      </c>
    </row>
    <row r="44" spans="1:3" x14ac:dyDescent="0.25">
      <c r="A44" s="53" t="s">
        <v>39</v>
      </c>
      <c r="B44" s="9">
        <v>1500</v>
      </c>
      <c r="C44" s="60" t="s">
        <v>7</v>
      </c>
    </row>
    <row r="45" spans="1:3" x14ac:dyDescent="0.25">
      <c r="A45" s="53" t="s">
        <v>40</v>
      </c>
      <c r="B45" s="9">
        <v>0</v>
      </c>
      <c r="C45" s="60"/>
    </row>
    <row r="46" spans="1:3" x14ac:dyDescent="0.25">
      <c r="A46" s="53" t="s">
        <v>41</v>
      </c>
      <c r="B46" s="9">
        <v>650</v>
      </c>
      <c r="C46" s="60" t="s">
        <v>155</v>
      </c>
    </row>
    <row r="47" spans="1:3" x14ac:dyDescent="0.25">
      <c r="A47" s="53" t="s">
        <v>42</v>
      </c>
      <c r="B47" s="9">
        <v>350</v>
      </c>
      <c r="C47" s="60" t="s">
        <v>7</v>
      </c>
    </row>
    <row r="48" spans="1:3" x14ac:dyDescent="0.25">
      <c r="A48" s="53" t="s">
        <v>43</v>
      </c>
      <c r="B48" s="9">
        <v>550</v>
      </c>
      <c r="C48" s="60" t="s">
        <v>7</v>
      </c>
    </row>
    <row r="49" spans="1:3" x14ac:dyDescent="0.25">
      <c r="A49" s="53" t="s">
        <v>44</v>
      </c>
      <c r="B49" s="9">
        <v>3800</v>
      </c>
      <c r="C49" s="60" t="s">
        <v>7</v>
      </c>
    </row>
    <row r="50" spans="1:3" x14ac:dyDescent="0.25">
      <c r="A50" s="53" t="s">
        <v>45</v>
      </c>
      <c r="B50" s="9">
        <v>1200</v>
      </c>
      <c r="C50" s="60" t="s">
        <v>7</v>
      </c>
    </row>
    <row r="51" spans="1:3" x14ac:dyDescent="0.25">
      <c r="A51" s="53" t="s">
        <v>46</v>
      </c>
      <c r="B51" s="9">
        <v>280</v>
      </c>
      <c r="C51" s="60" t="s">
        <v>8</v>
      </c>
    </row>
    <row r="52" spans="1:3" x14ac:dyDescent="0.25">
      <c r="A52" s="53" t="s">
        <v>153</v>
      </c>
      <c r="B52" s="9">
        <v>140</v>
      </c>
      <c r="C52" s="60" t="s">
        <v>8</v>
      </c>
    </row>
    <row r="53" spans="1:3" x14ac:dyDescent="0.25">
      <c r="A53" s="53" t="s">
        <v>47</v>
      </c>
      <c r="B53" s="9">
        <v>0</v>
      </c>
      <c r="C53" s="60"/>
    </row>
    <row r="54" spans="1:3" x14ac:dyDescent="0.25">
      <c r="A54" s="54" t="s">
        <v>48</v>
      </c>
      <c r="B54" s="9">
        <v>230</v>
      </c>
      <c r="C54" s="60" t="s">
        <v>8</v>
      </c>
    </row>
    <row r="55" spans="1:3" ht="15.75" thickBot="1" x14ac:dyDescent="0.3">
      <c r="A55" s="17" t="s">
        <v>49</v>
      </c>
      <c r="B55" s="9">
        <v>470</v>
      </c>
      <c r="C55" s="60" t="s">
        <v>8</v>
      </c>
    </row>
    <row r="56" spans="1:3" ht="15.75" thickBot="1" x14ac:dyDescent="0.3">
      <c r="A56" s="46" t="s">
        <v>50</v>
      </c>
      <c r="B56" s="44">
        <v>1276</v>
      </c>
      <c r="C56" s="70"/>
    </row>
    <row r="57" spans="1:3" x14ac:dyDescent="0.25">
      <c r="A57" s="4" t="s">
        <v>51</v>
      </c>
      <c r="B57" s="7">
        <v>0</v>
      </c>
      <c r="C57" s="60"/>
    </row>
    <row r="58" spans="1:3" x14ac:dyDescent="0.25">
      <c r="A58" s="8" t="s">
        <v>52</v>
      </c>
      <c r="B58" s="7">
        <v>150</v>
      </c>
      <c r="C58" s="60" t="s">
        <v>8</v>
      </c>
    </row>
    <row r="59" spans="1:3" x14ac:dyDescent="0.25">
      <c r="A59" s="8" t="s">
        <v>53</v>
      </c>
      <c r="B59" s="7">
        <v>250</v>
      </c>
      <c r="C59" s="60" t="s">
        <v>8</v>
      </c>
    </row>
    <row r="60" spans="1:3" x14ac:dyDescent="0.25">
      <c r="A60" s="8" t="s">
        <v>54</v>
      </c>
      <c r="B60" s="7">
        <v>100</v>
      </c>
      <c r="C60" s="60" t="s">
        <v>8</v>
      </c>
    </row>
    <row r="61" spans="1:3" x14ac:dyDescent="0.25">
      <c r="A61" s="8" t="s">
        <v>55</v>
      </c>
      <c r="B61" s="7">
        <v>150</v>
      </c>
      <c r="C61" s="60"/>
    </row>
    <row r="62" spans="1:3" x14ac:dyDescent="0.25">
      <c r="A62" s="8" t="s">
        <v>56</v>
      </c>
      <c r="B62" s="7">
        <v>150</v>
      </c>
      <c r="C62" s="60" t="s">
        <v>8</v>
      </c>
    </row>
    <row r="63" spans="1:3" x14ac:dyDescent="0.25">
      <c r="A63" s="8" t="s">
        <v>57</v>
      </c>
      <c r="B63" s="7">
        <v>150</v>
      </c>
      <c r="C63" s="60" t="s">
        <v>8</v>
      </c>
    </row>
    <row r="64" spans="1:3" x14ac:dyDescent="0.25">
      <c r="A64" s="8" t="s">
        <v>58</v>
      </c>
      <c r="B64" s="7">
        <v>50</v>
      </c>
      <c r="C64" s="60" t="s">
        <v>8</v>
      </c>
    </row>
    <row r="65" spans="1:3" ht="15.75" thickBot="1" x14ac:dyDescent="0.3">
      <c r="A65" s="12" t="s">
        <v>59</v>
      </c>
      <c r="B65" s="7">
        <v>276</v>
      </c>
      <c r="C65" s="60" t="s">
        <v>8</v>
      </c>
    </row>
    <row r="66" spans="1:3" ht="15.75" thickBot="1" x14ac:dyDescent="0.3">
      <c r="A66" s="41" t="s">
        <v>60</v>
      </c>
      <c r="B66" s="44">
        <v>30494</v>
      </c>
      <c r="C66" s="60"/>
    </row>
    <row r="67" spans="1:3" x14ac:dyDescent="0.25">
      <c r="A67" s="14" t="s">
        <v>165</v>
      </c>
      <c r="B67" s="2">
        <v>300</v>
      </c>
      <c r="C67" s="60" t="s">
        <v>8</v>
      </c>
    </row>
    <row r="68" spans="1:3" x14ac:dyDescent="0.25">
      <c r="A68" s="14" t="s">
        <v>61</v>
      </c>
      <c r="B68" s="2">
        <v>600</v>
      </c>
      <c r="C68" s="60" t="s">
        <v>8</v>
      </c>
    </row>
    <row r="69" spans="1:3" x14ac:dyDescent="0.25">
      <c r="A69" s="8" t="s">
        <v>62</v>
      </c>
      <c r="B69" s="2">
        <v>480</v>
      </c>
      <c r="C69" s="60" t="s">
        <v>8</v>
      </c>
    </row>
    <row r="70" spans="1:3" x14ac:dyDescent="0.25">
      <c r="A70" s="8" t="s">
        <v>63</v>
      </c>
      <c r="B70" s="2">
        <v>3500</v>
      </c>
      <c r="C70" s="60" t="s">
        <v>7</v>
      </c>
    </row>
    <row r="71" spans="1:3" x14ac:dyDescent="0.25">
      <c r="A71" s="8" t="s">
        <v>64</v>
      </c>
      <c r="B71" s="2">
        <v>7500</v>
      </c>
      <c r="C71" s="60" t="s">
        <v>7</v>
      </c>
    </row>
    <row r="72" spans="1:3" x14ac:dyDescent="0.25">
      <c r="A72" s="8" t="s">
        <v>65</v>
      </c>
      <c r="B72" s="2">
        <v>450</v>
      </c>
      <c r="C72" s="60" t="s">
        <v>8</v>
      </c>
    </row>
    <row r="73" spans="1:3" x14ac:dyDescent="0.25">
      <c r="A73" s="8" t="s">
        <v>66</v>
      </c>
      <c r="B73" s="2">
        <v>5500</v>
      </c>
      <c r="C73" s="60" t="s">
        <v>8</v>
      </c>
    </row>
    <row r="74" spans="1:3" x14ac:dyDescent="0.25">
      <c r="A74" s="8" t="s">
        <v>67</v>
      </c>
      <c r="B74" s="2">
        <v>200</v>
      </c>
      <c r="C74" s="60" t="s">
        <v>8</v>
      </c>
    </row>
    <row r="75" spans="1:3" x14ac:dyDescent="0.25">
      <c r="A75" s="8" t="s">
        <v>68</v>
      </c>
      <c r="B75" s="2">
        <v>0</v>
      </c>
      <c r="C75" s="60" t="s">
        <v>8</v>
      </c>
    </row>
    <row r="76" spans="1:3" x14ac:dyDescent="0.25">
      <c r="A76" s="8" t="s">
        <v>69</v>
      </c>
      <c r="B76" s="2">
        <v>100</v>
      </c>
      <c r="C76" s="60" t="s">
        <v>8</v>
      </c>
    </row>
    <row r="77" spans="1:3" x14ac:dyDescent="0.25">
      <c r="A77" s="8" t="s">
        <v>70</v>
      </c>
      <c r="B77" s="2">
        <v>200</v>
      </c>
      <c r="C77" s="60" t="s">
        <v>8</v>
      </c>
    </row>
    <row r="78" spans="1:3" x14ac:dyDescent="0.25">
      <c r="A78" s="8" t="s">
        <v>71</v>
      </c>
      <c r="B78" s="2">
        <v>100</v>
      </c>
      <c r="C78" s="60" t="s">
        <v>8</v>
      </c>
    </row>
    <row r="79" spans="1:3" x14ac:dyDescent="0.25">
      <c r="A79" s="8" t="s">
        <v>72</v>
      </c>
      <c r="B79" s="2">
        <v>150</v>
      </c>
      <c r="C79" s="60" t="s">
        <v>7</v>
      </c>
    </row>
    <row r="80" spans="1:3" x14ac:dyDescent="0.25">
      <c r="A80" s="8" t="s">
        <v>73</v>
      </c>
      <c r="B80" s="2">
        <v>600</v>
      </c>
      <c r="C80" s="60" t="s">
        <v>8</v>
      </c>
    </row>
    <row r="81" spans="1:3" x14ac:dyDescent="0.25">
      <c r="A81" s="8" t="s">
        <v>74</v>
      </c>
      <c r="B81" s="2">
        <v>400</v>
      </c>
      <c r="C81" s="60" t="s">
        <v>8</v>
      </c>
    </row>
    <row r="82" spans="1:3" x14ac:dyDescent="0.25">
      <c r="A82" s="8" t="s">
        <v>75</v>
      </c>
      <c r="B82" s="2">
        <v>50</v>
      </c>
      <c r="C82" s="60" t="s">
        <v>8</v>
      </c>
    </row>
    <row r="83" spans="1:3" x14ac:dyDescent="0.25">
      <c r="A83" s="8" t="s">
        <v>76</v>
      </c>
      <c r="B83" s="2">
        <v>1000</v>
      </c>
      <c r="C83" s="60" t="s">
        <v>8</v>
      </c>
    </row>
    <row r="84" spans="1:3" x14ac:dyDescent="0.25">
      <c r="A84" s="15" t="s">
        <v>77</v>
      </c>
      <c r="B84" s="2">
        <v>150</v>
      </c>
      <c r="C84" s="60" t="s">
        <v>8</v>
      </c>
    </row>
    <row r="85" spans="1:3" x14ac:dyDescent="0.25">
      <c r="A85" s="6" t="s">
        <v>78</v>
      </c>
      <c r="B85" s="2">
        <v>1500</v>
      </c>
      <c r="C85" s="60" t="s">
        <v>8</v>
      </c>
    </row>
    <row r="86" spans="1:3" x14ac:dyDescent="0.25">
      <c r="A86" s="8" t="s">
        <v>79</v>
      </c>
      <c r="B86" s="2">
        <v>350</v>
      </c>
      <c r="C86" s="60" t="s">
        <v>8</v>
      </c>
    </row>
    <row r="87" spans="1:3" x14ac:dyDescent="0.25">
      <c r="A87" s="8" t="s">
        <v>80</v>
      </c>
      <c r="B87" s="2">
        <v>5200</v>
      </c>
      <c r="C87" s="60" t="s">
        <v>7</v>
      </c>
    </row>
    <row r="88" spans="1:3" x14ac:dyDescent="0.25">
      <c r="A88" s="8" t="s">
        <v>81</v>
      </c>
      <c r="B88" s="2">
        <v>444</v>
      </c>
      <c r="C88" s="60" t="s">
        <v>8</v>
      </c>
    </row>
    <row r="89" spans="1:3" x14ac:dyDescent="0.25">
      <c r="A89" s="8" t="s">
        <v>82</v>
      </c>
      <c r="B89" s="2">
        <v>100</v>
      </c>
      <c r="C89" s="60" t="s">
        <v>8</v>
      </c>
    </row>
    <row r="90" spans="1:3" ht="15.75" thickBot="1" x14ac:dyDescent="0.3">
      <c r="A90" s="12" t="s">
        <v>83</v>
      </c>
      <c r="B90" s="2">
        <v>1620</v>
      </c>
      <c r="C90" s="60" t="s">
        <v>8</v>
      </c>
    </row>
    <row r="91" spans="1:3" ht="15.75" thickBot="1" x14ac:dyDescent="0.3">
      <c r="A91" s="41" t="s">
        <v>84</v>
      </c>
      <c r="B91" s="45">
        <v>9550</v>
      </c>
      <c r="C91" s="60"/>
    </row>
    <row r="92" spans="1:3" x14ac:dyDescent="0.25">
      <c r="A92" s="6" t="s">
        <v>85</v>
      </c>
      <c r="B92" s="78">
        <v>100</v>
      </c>
      <c r="C92" s="60" t="s">
        <v>155</v>
      </c>
    </row>
    <row r="93" spans="1:3" x14ac:dyDescent="0.25">
      <c r="A93" s="8" t="s">
        <v>86</v>
      </c>
      <c r="B93" s="9">
        <v>600</v>
      </c>
      <c r="C93" s="60" t="s">
        <v>7</v>
      </c>
    </row>
    <row r="94" spans="1:3" x14ac:dyDescent="0.25">
      <c r="A94" s="8" t="s">
        <v>157</v>
      </c>
      <c r="B94" s="9">
        <v>3800</v>
      </c>
      <c r="C94" s="60" t="s">
        <v>8</v>
      </c>
    </row>
    <row r="95" spans="1:3" x14ac:dyDescent="0.25">
      <c r="A95" s="8" t="s">
        <v>87</v>
      </c>
      <c r="B95" s="9">
        <v>1500</v>
      </c>
      <c r="C95" s="60" t="s">
        <v>155</v>
      </c>
    </row>
    <row r="96" spans="1:3" x14ac:dyDescent="0.25">
      <c r="A96" s="8" t="s">
        <v>88</v>
      </c>
      <c r="B96" s="9">
        <v>50</v>
      </c>
      <c r="C96" s="60" t="s">
        <v>8</v>
      </c>
    </row>
    <row r="97" spans="1:3" ht="15.75" thickBot="1" x14ac:dyDescent="0.3">
      <c r="A97" s="12" t="s">
        <v>89</v>
      </c>
      <c r="B97" s="2">
        <v>3500</v>
      </c>
      <c r="C97" s="60" t="s">
        <v>8</v>
      </c>
    </row>
    <row r="98" spans="1:3" ht="15.75" thickBot="1" x14ac:dyDescent="0.3">
      <c r="A98" s="41" t="s">
        <v>90</v>
      </c>
      <c r="B98" s="45">
        <v>25770</v>
      </c>
      <c r="C98" s="60"/>
    </row>
    <row r="99" spans="1:3" x14ac:dyDescent="0.25">
      <c r="A99" s="6" t="s">
        <v>91</v>
      </c>
      <c r="B99" s="9">
        <v>800</v>
      </c>
      <c r="C99" s="60" t="s">
        <v>7</v>
      </c>
    </row>
    <row r="100" spans="1:3" x14ac:dyDescent="0.25">
      <c r="A100" s="8" t="s">
        <v>92</v>
      </c>
      <c r="B100" s="9">
        <v>200</v>
      </c>
      <c r="C100" s="60" t="s">
        <v>7</v>
      </c>
    </row>
    <row r="101" spans="1:3" x14ac:dyDescent="0.25">
      <c r="A101" s="8" t="s">
        <v>149</v>
      </c>
      <c r="B101" s="9">
        <v>1290</v>
      </c>
      <c r="C101" s="60" t="s">
        <v>7</v>
      </c>
    </row>
    <row r="102" spans="1:3" x14ac:dyDescent="0.25">
      <c r="A102" s="8" t="s">
        <v>93</v>
      </c>
      <c r="B102" s="9">
        <v>200</v>
      </c>
      <c r="C102" s="60" t="s">
        <v>7</v>
      </c>
    </row>
    <row r="103" spans="1:3" x14ac:dyDescent="0.25">
      <c r="A103" s="8" t="s">
        <v>94</v>
      </c>
      <c r="B103" s="9">
        <v>800</v>
      </c>
      <c r="C103" s="60" t="s">
        <v>7</v>
      </c>
    </row>
    <row r="104" spans="1:3" x14ac:dyDescent="0.25">
      <c r="A104" s="8" t="s">
        <v>95</v>
      </c>
      <c r="B104" s="9">
        <v>300</v>
      </c>
      <c r="C104" s="60" t="s">
        <v>7</v>
      </c>
    </row>
    <row r="105" spans="1:3" x14ac:dyDescent="0.25">
      <c r="A105" s="8" t="s">
        <v>96</v>
      </c>
      <c r="B105" s="9">
        <v>1260</v>
      </c>
      <c r="C105" s="60" t="s">
        <v>7</v>
      </c>
    </row>
    <row r="106" spans="1:3" x14ac:dyDescent="0.25">
      <c r="A106" s="8" t="s">
        <v>160</v>
      </c>
      <c r="B106" s="9">
        <v>0</v>
      </c>
      <c r="C106" s="60"/>
    </row>
    <row r="107" spans="1:3" x14ac:dyDescent="0.25">
      <c r="A107" s="8" t="s">
        <v>97</v>
      </c>
      <c r="B107" s="9">
        <v>1200</v>
      </c>
      <c r="C107" s="60" t="s">
        <v>7</v>
      </c>
    </row>
    <row r="108" spans="1:3" x14ac:dyDescent="0.25">
      <c r="A108" s="8" t="s">
        <v>98</v>
      </c>
      <c r="B108" s="9">
        <v>1200</v>
      </c>
      <c r="C108" s="60" t="s">
        <v>7</v>
      </c>
    </row>
    <row r="109" spans="1:3" x14ac:dyDescent="0.25">
      <c r="A109" s="8" t="s">
        <v>99</v>
      </c>
      <c r="B109" s="9">
        <v>5000</v>
      </c>
      <c r="C109" s="60" t="s">
        <v>7</v>
      </c>
    </row>
    <row r="110" spans="1:3" x14ac:dyDescent="0.25">
      <c r="A110" s="8" t="s">
        <v>100</v>
      </c>
      <c r="B110" s="9">
        <v>100</v>
      </c>
      <c r="C110" s="60" t="s">
        <v>8</v>
      </c>
    </row>
    <row r="111" spans="1:3" x14ac:dyDescent="0.25">
      <c r="A111" s="8" t="s">
        <v>161</v>
      </c>
      <c r="B111" s="9">
        <v>0</v>
      </c>
      <c r="C111" s="60"/>
    </row>
    <row r="112" spans="1:3" x14ac:dyDescent="0.25">
      <c r="A112" s="8" t="s">
        <v>101</v>
      </c>
      <c r="B112" s="9">
        <v>900</v>
      </c>
      <c r="C112" s="60" t="s">
        <v>7</v>
      </c>
    </row>
    <row r="113" spans="1:3" x14ac:dyDescent="0.25">
      <c r="A113" s="8" t="s">
        <v>102</v>
      </c>
      <c r="B113" s="9">
        <v>1200</v>
      </c>
      <c r="C113" s="60" t="s">
        <v>7</v>
      </c>
    </row>
    <row r="114" spans="1:3" x14ac:dyDescent="0.25">
      <c r="A114" s="8" t="s">
        <v>103</v>
      </c>
      <c r="B114" s="9">
        <v>100</v>
      </c>
      <c r="C114" s="60" t="s">
        <v>7</v>
      </c>
    </row>
    <row r="115" spans="1:3" x14ac:dyDescent="0.25">
      <c r="A115" s="8" t="s">
        <v>104</v>
      </c>
      <c r="B115" s="9">
        <v>500</v>
      </c>
      <c r="C115" s="60" t="s">
        <v>7</v>
      </c>
    </row>
    <row r="116" spans="1:3" x14ac:dyDescent="0.25">
      <c r="A116" s="8" t="s">
        <v>105</v>
      </c>
      <c r="B116" s="9">
        <v>200</v>
      </c>
      <c r="C116" s="60" t="s">
        <v>7</v>
      </c>
    </row>
    <row r="117" spans="1:3" x14ac:dyDescent="0.25">
      <c r="A117" s="8" t="s">
        <v>106</v>
      </c>
      <c r="B117" s="9">
        <v>1200</v>
      </c>
      <c r="C117" s="60" t="s">
        <v>7</v>
      </c>
    </row>
    <row r="118" spans="1:3" x14ac:dyDescent="0.25">
      <c r="A118" s="8" t="s">
        <v>107</v>
      </c>
      <c r="B118" s="9">
        <v>4100</v>
      </c>
      <c r="C118" s="60" t="s">
        <v>7</v>
      </c>
    </row>
    <row r="119" spans="1:3" x14ac:dyDescent="0.25">
      <c r="A119" s="23" t="s">
        <v>108</v>
      </c>
      <c r="B119" s="9">
        <v>2220</v>
      </c>
      <c r="C119" s="60" t="s">
        <v>7</v>
      </c>
    </row>
    <row r="120" spans="1:3" x14ac:dyDescent="0.25">
      <c r="A120" s="8" t="s">
        <v>109</v>
      </c>
      <c r="B120" s="9">
        <v>900</v>
      </c>
      <c r="C120" s="60" t="s">
        <v>7</v>
      </c>
    </row>
    <row r="121" spans="1:3" x14ac:dyDescent="0.25">
      <c r="A121" s="8" t="s">
        <v>110</v>
      </c>
      <c r="B121" s="9">
        <v>1200</v>
      </c>
      <c r="C121" s="60" t="s">
        <v>8</v>
      </c>
    </row>
    <row r="122" spans="1:3" ht="15.75" thickBot="1" x14ac:dyDescent="0.3">
      <c r="A122" s="12" t="s">
        <v>111</v>
      </c>
      <c r="B122" s="9">
        <v>900</v>
      </c>
      <c r="C122" s="60" t="s">
        <v>7</v>
      </c>
    </row>
    <row r="123" spans="1:3" ht="15.75" thickBot="1" x14ac:dyDescent="0.3">
      <c r="A123" s="41" t="s">
        <v>112</v>
      </c>
      <c r="B123" s="45">
        <v>179083</v>
      </c>
      <c r="C123" s="60"/>
    </row>
    <row r="124" spans="1:3" x14ac:dyDescent="0.25">
      <c r="A124" s="6" t="s">
        <v>113</v>
      </c>
      <c r="B124" s="9">
        <v>5850</v>
      </c>
      <c r="C124" s="60" t="s">
        <v>155</v>
      </c>
    </row>
    <row r="125" spans="1:3" x14ac:dyDescent="0.25">
      <c r="A125" s="8" t="s">
        <v>114</v>
      </c>
      <c r="B125" s="9">
        <v>350</v>
      </c>
      <c r="C125" s="60" t="s">
        <v>7</v>
      </c>
    </row>
    <row r="126" spans="1:3" x14ac:dyDescent="0.25">
      <c r="A126" s="8" t="s">
        <v>162</v>
      </c>
      <c r="B126" s="9">
        <v>100</v>
      </c>
      <c r="C126" s="60"/>
    </row>
    <row r="127" spans="1:3" x14ac:dyDescent="0.25">
      <c r="A127" s="8" t="s">
        <v>115</v>
      </c>
      <c r="B127" s="9">
        <v>700</v>
      </c>
      <c r="C127" s="60" t="s">
        <v>7</v>
      </c>
    </row>
    <row r="128" spans="1:3" x14ac:dyDescent="0.25">
      <c r="A128" s="8" t="s">
        <v>116</v>
      </c>
      <c r="B128" s="9">
        <v>20</v>
      </c>
      <c r="C128" s="60" t="s">
        <v>8</v>
      </c>
    </row>
    <row r="129" spans="1:3" x14ac:dyDescent="0.25">
      <c r="A129" s="8" t="s">
        <v>117</v>
      </c>
      <c r="B129" s="9">
        <v>200</v>
      </c>
      <c r="C129" s="60" t="s">
        <v>8</v>
      </c>
    </row>
    <row r="130" spans="1:3" x14ac:dyDescent="0.25">
      <c r="A130" s="8" t="s">
        <v>118</v>
      </c>
      <c r="B130" s="9">
        <v>500</v>
      </c>
      <c r="C130" s="60" t="s">
        <v>8</v>
      </c>
    </row>
    <row r="131" spans="1:3" x14ac:dyDescent="0.25">
      <c r="A131" s="8" t="s">
        <v>119</v>
      </c>
      <c r="B131" s="9">
        <v>10072</v>
      </c>
      <c r="C131" s="60" t="s">
        <v>7</v>
      </c>
    </row>
    <row r="132" spans="1:3" x14ac:dyDescent="0.25">
      <c r="A132" s="8" t="s">
        <v>163</v>
      </c>
      <c r="B132" s="9">
        <v>900</v>
      </c>
      <c r="C132" s="60" t="s">
        <v>7</v>
      </c>
    </row>
    <row r="133" spans="1:3" x14ac:dyDescent="0.25">
      <c r="A133" s="8" t="s">
        <v>120</v>
      </c>
      <c r="B133" s="9">
        <v>1200</v>
      </c>
      <c r="C133" s="60" t="s">
        <v>7</v>
      </c>
    </row>
    <row r="134" spans="1:3" x14ac:dyDescent="0.25">
      <c r="A134" s="23" t="s">
        <v>121</v>
      </c>
      <c r="B134" s="9">
        <v>27600</v>
      </c>
      <c r="C134" s="60" t="s">
        <v>155</v>
      </c>
    </row>
    <row r="135" spans="1:3" x14ac:dyDescent="0.25">
      <c r="A135" s="8" t="s">
        <v>122</v>
      </c>
      <c r="B135" s="9">
        <v>54448</v>
      </c>
      <c r="C135" s="60" t="s">
        <v>155</v>
      </c>
    </row>
    <row r="136" spans="1:3" x14ac:dyDescent="0.25">
      <c r="A136" s="8" t="s">
        <v>158</v>
      </c>
      <c r="B136" s="9">
        <v>65777</v>
      </c>
      <c r="C136" s="60" t="s">
        <v>7</v>
      </c>
    </row>
    <row r="137" spans="1:3" x14ac:dyDescent="0.25">
      <c r="A137" s="8" t="s">
        <v>123</v>
      </c>
      <c r="B137" s="9">
        <v>2200</v>
      </c>
      <c r="C137" s="60" t="s">
        <v>155</v>
      </c>
    </row>
    <row r="138" spans="1:3" x14ac:dyDescent="0.25">
      <c r="A138" s="8" t="s">
        <v>124</v>
      </c>
      <c r="B138" s="9">
        <v>3100</v>
      </c>
      <c r="C138" s="60" t="s">
        <v>7</v>
      </c>
    </row>
    <row r="139" spans="1:3" x14ac:dyDescent="0.25">
      <c r="A139" s="8" t="s">
        <v>125</v>
      </c>
      <c r="B139" s="9">
        <v>1800</v>
      </c>
      <c r="C139" s="60" t="s">
        <v>7</v>
      </c>
    </row>
    <row r="140" spans="1:3" x14ac:dyDescent="0.25">
      <c r="A140" s="8" t="s">
        <v>164</v>
      </c>
      <c r="B140" s="9">
        <v>166</v>
      </c>
      <c r="C140" s="60" t="s">
        <v>7</v>
      </c>
    </row>
    <row r="141" spans="1:3" x14ac:dyDescent="0.25">
      <c r="A141" s="8" t="s">
        <v>126</v>
      </c>
      <c r="B141" s="9">
        <v>1300</v>
      </c>
      <c r="C141" s="60" t="s">
        <v>155</v>
      </c>
    </row>
    <row r="142" spans="1:3" x14ac:dyDescent="0.25">
      <c r="A142" s="8" t="s">
        <v>127</v>
      </c>
      <c r="B142" s="9">
        <v>1600</v>
      </c>
      <c r="C142" s="60" t="s">
        <v>7</v>
      </c>
    </row>
    <row r="143" spans="1:3" x14ac:dyDescent="0.25">
      <c r="A143" s="8" t="s">
        <v>128</v>
      </c>
      <c r="B143" s="9">
        <v>400</v>
      </c>
      <c r="C143" s="60" t="s">
        <v>155</v>
      </c>
    </row>
    <row r="144" spans="1:3" ht="15.75" thickBot="1" x14ac:dyDescent="0.3">
      <c r="A144" s="17" t="s">
        <v>129</v>
      </c>
      <c r="B144" s="9">
        <v>800</v>
      </c>
      <c r="C144" s="60" t="s">
        <v>159</v>
      </c>
    </row>
    <row r="145" spans="1:3" ht="15.75" thickBot="1" x14ac:dyDescent="0.3">
      <c r="A145" s="47" t="s">
        <v>152</v>
      </c>
      <c r="B145" s="72">
        <v>1985</v>
      </c>
      <c r="C145" s="60" t="s">
        <v>8</v>
      </c>
    </row>
    <row r="146" spans="1:3" ht="15.75" thickBot="1" x14ac:dyDescent="0.3">
      <c r="A146" s="48" t="s">
        <v>130</v>
      </c>
      <c r="B146" s="72">
        <v>3000</v>
      </c>
      <c r="C146" s="60" t="s">
        <v>8</v>
      </c>
    </row>
    <row r="147" spans="1:3" ht="15.75" thickBot="1" x14ac:dyDescent="0.3">
      <c r="A147" s="47" t="s">
        <v>151</v>
      </c>
      <c r="B147" s="72">
        <v>2600</v>
      </c>
      <c r="C147" s="60" t="s">
        <v>155</v>
      </c>
    </row>
    <row r="148" spans="1:3" x14ac:dyDescent="0.25">
      <c r="A148" s="6" t="s">
        <v>131</v>
      </c>
      <c r="B148" s="9">
        <v>1800</v>
      </c>
      <c r="C148" s="60" t="s">
        <v>7</v>
      </c>
    </row>
    <row r="149" spans="1:3" x14ac:dyDescent="0.25">
      <c r="A149" s="8" t="s">
        <v>132</v>
      </c>
      <c r="B149" s="9">
        <v>100</v>
      </c>
      <c r="C149" s="60" t="s">
        <v>7</v>
      </c>
    </row>
    <row r="150" spans="1:3" x14ac:dyDescent="0.25">
      <c r="A150" s="12" t="s">
        <v>133</v>
      </c>
      <c r="B150" s="9">
        <v>600</v>
      </c>
      <c r="C150" s="60" t="s">
        <v>155</v>
      </c>
    </row>
    <row r="151" spans="1:3" ht="15.75" thickBot="1" x14ac:dyDescent="0.3">
      <c r="A151" s="18" t="s">
        <v>134</v>
      </c>
      <c r="B151" s="9">
        <v>100</v>
      </c>
      <c r="C151" s="60" t="s">
        <v>8</v>
      </c>
    </row>
    <row r="152" spans="1:3" ht="15.75" thickBot="1" x14ac:dyDescent="0.3">
      <c r="A152" s="50" t="s">
        <v>150</v>
      </c>
      <c r="B152" s="44">
        <v>900</v>
      </c>
      <c r="C152" s="60" t="s">
        <v>159</v>
      </c>
    </row>
    <row r="153" spans="1:3" ht="15.75" thickBot="1" x14ac:dyDescent="0.3">
      <c r="A153" s="41" t="s">
        <v>135</v>
      </c>
      <c r="B153" s="44">
        <v>700</v>
      </c>
      <c r="C153" s="60" t="s">
        <v>8</v>
      </c>
    </row>
    <row r="154" spans="1:3" ht="16.5" thickBot="1" x14ac:dyDescent="0.3">
      <c r="A154" s="29" t="s">
        <v>136</v>
      </c>
      <c r="B154" s="30">
        <v>2770287</v>
      </c>
      <c r="C154" s="60"/>
    </row>
    <row r="155" spans="1:3" x14ac:dyDescent="0.25">
      <c r="A155" s="19" t="s">
        <v>166</v>
      </c>
      <c r="B155" s="2">
        <v>0</v>
      </c>
      <c r="C155" s="60"/>
    </row>
    <row r="156" spans="1:3" x14ac:dyDescent="0.25">
      <c r="A156" s="19" t="s">
        <v>137</v>
      </c>
      <c r="B156" s="2">
        <v>2797</v>
      </c>
      <c r="C156" s="60" t="s">
        <v>174</v>
      </c>
    </row>
    <row r="157" spans="1:3" x14ac:dyDescent="0.25">
      <c r="A157" s="19" t="s">
        <v>156</v>
      </c>
      <c r="B157" s="2">
        <v>0</v>
      </c>
      <c r="C157" s="60"/>
    </row>
    <row r="158" spans="1:3" x14ac:dyDescent="0.25">
      <c r="A158" s="21" t="s">
        <v>138</v>
      </c>
      <c r="B158" s="2">
        <v>0</v>
      </c>
      <c r="C158" s="60"/>
    </row>
    <row r="159" spans="1:3" x14ac:dyDescent="0.25">
      <c r="A159" s="21" t="s">
        <v>175</v>
      </c>
      <c r="B159" s="2">
        <v>0</v>
      </c>
      <c r="C159" s="60"/>
    </row>
    <row r="160" spans="1:3" x14ac:dyDescent="0.25">
      <c r="A160" s="21" t="s">
        <v>139</v>
      </c>
      <c r="B160" s="2">
        <v>0</v>
      </c>
      <c r="C160" s="60"/>
    </row>
    <row r="161" spans="1:3" x14ac:dyDescent="0.25">
      <c r="A161" s="21" t="s">
        <v>140</v>
      </c>
      <c r="B161" s="2">
        <v>200</v>
      </c>
      <c r="C161" s="60" t="s">
        <v>8</v>
      </c>
    </row>
    <row r="162" spans="1:3" x14ac:dyDescent="0.25">
      <c r="A162" s="19" t="s">
        <v>141</v>
      </c>
      <c r="B162" s="2">
        <v>600</v>
      </c>
      <c r="C162" s="60" t="s">
        <v>8</v>
      </c>
    </row>
    <row r="163" spans="1:3" x14ac:dyDescent="0.25">
      <c r="A163" s="21" t="s">
        <v>142</v>
      </c>
      <c r="B163" s="2">
        <v>400</v>
      </c>
      <c r="C163" s="60" t="s">
        <v>8</v>
      </c>
    </row>
    <row r="164" spans="1:3" x14ac:dyDescent="0.25">
      <c r="A164" s="21" t="s">
        <v>176</v>
      </c>
      <c r="B164" s="2">
        <v>35</v>
      </c>
      <c r="C164" s="60" t="s">
        <v>8</v>
      </c>
    </row>
    <row r="165" spans="1:3" x14ac:dyDescent="0.25">
      <c r="A165" s="19" t="s">
        <v>143</v>
      </c>
      <c r="B165" s="2">
        <v>300</v>
      </c>
      <c r="C165" s="60" t="s">
        <v>8</v>
      </c>
    </row>
    <row r="166" spans="1:3" x14ac:dyDescent="0.25">
      <c r="A166" s="22" t="s">
        <v>144</v>
      </c>
      <c r="B166" s="2">
        <v>100</v>
      </c>
      <c r="C166" s="60" t="s">
        <v>8</v>
      </c>
    </row>
    <row r="167" spans="1:3" x14ac:dyDescent="0.25">
      <c r="A167" s="19" t="s">
        <v>145</v>
      </c>
      <c r="B167" s="2">
        <v>100</v>
      </c>
      <c r="C167" s="60"/>
    </row>
    <row r="168" spans="1:3" x14ac:dyDescent="0.25">
      <c r="A168" s="19" t="s">
        <v>168</v>
      </c>
      <c r="B168" s="2">
        <v>200</v>
      </c>
      <c r="C168" s="60"/>
    </row>
    <row r="169" spans="1:3" ht="15.75" thickBot="1" x14ac:dyDescent="0.3">
      <c r="A169" s="19" t="s">
        <v>146</v>
      </c>
      <c r="B169" s="2">
        <v>50</v>
      </c>
      <c r="C169" s="60" t="s">
        <v>8</v>
      </c>
    </row>
    <row r="170" spans="1:3" ht="16.5" thickBot="1" x14ac:dyDescent="0.3">
      <c r="A170" s="29" t="s">
        <v>147</v>
      </c>
      <c r="B170" s="30">
        <v>4782</v>
      </c>
      <c r="C170" s="61"/>
    </row>
    <row r="171" spans="1:3" ht="16.5" thickBot="1" x14ac:dyDescent="0.3">
      <c r="A171" s="34" t="s">
        <v>148</v>
      </c>
      <c r="B171" s="35">
        <v>2775069</v>
      </c>
      <c r="C171" s="62"/>
    </row>
    <row r="172" spans="1:3" x14ac:dyDescent="0.25">
      <c r="B172" s="147" t="s">
        <v>179</v>
      </c>
      <c r="C172" s="147"/>
    </row>
    <row r="173" spans="1:3" x14ac:dyDescent="0.25">
      <c r="B173" s="147" t="s">
        <v>181</v>
      </c>
      <c r="C173" s="147"/>
    </row>
    <row r="174" spans="1:3" x14ac:dyDescent="0.25">
      <c r="B174" s="147"/>
      <c r="C174" s="147"/>
    </row>
  </sheetData>
  <mergeCells count="4">
    <mergeCell ref="A2:C2"/>
    <mergeCell ref="A3:C3"/>
    <mergeCell ref="B172:C172"/>
    <mergeCell ref="B173:C17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5"/>
  <sheetViews>
    <sheetView topLeftCell="B4" zoomScale="120" zoomScaleNormal="120" workbookViewId="0">
      <selection activeCell="G13" sqref="G13:G14"/>
    </sheetView>
  </sheetViews>
  <sheetFormatPr defaultRowHeight="15" x14ac:dyDescent="0.25"/>
  <cols>
    <col min="1" max="1" width="0.85546875" hidden="1" customWidth="1"/>
    <col min="2" max="2" width="47.42578125" customWidth="1"/>
    <col min="3" max="3" width="11.42578125" customWidth="1"/>
    <col min="4" max="5" width="7.85546875" customWidth="1"/>
    <col min="6" max="6" width="8.28515625" customWidth="1"/>
    <col min="7" max="7" width="12.42578125" customWidth="1"/>
    <col min="11" max="11" width="14.7109375" customWidth="1"/>
  </cols>
  <sheetData>
    <row r="1" spans="2:10" ht="9.75" customHeight="1" x14ac:dyDescent="0.25"/>
    <row r="2" spans="2:10" x14ac:dyDescent="0.25">
      <c r="B2" s="144" t="s">
        <v>0</v>
      </c>
      <c r="C2" s="144"/>
      <c r="D2" s="144"/>
      <c r="E2" s="144"/>
      <c r="F2" s="144"/>
      <c r="G2" s="144"/>
    </row>
    <row r="3" spans="2:10" x14ac:dyDescent="0.25">
      <c r="B3" s="145" t="s">
        <v>189</v>
      </c>
      <c r="C3" s="145"/>
      <c r="D3" s="145"/>
      <c r="E3" s="145"/>
      <c r="F3" s="145"/>
      <c r="G3" s="145"/>
    </row>
    <row r="4" spans="2:10" ht="16.5" thickBot="1" x14ac:dyDescent="0.3">
      <c r="B4" s="3"/>
      <c r="C4" s="3"/>
      <c r="D4" s="3"/>
      <c r="E4" s="3"/>
      <c r="F4" s="3"/>
      <c r="G4" s="5" t="s">
        <v>1</v>
      </c>
    </row>
    <row r="5" spans="2:10" ht="82.5" thickBot="1" x14ac:dyDescent="0.3">
      <c r="B5" s="24" t="s">
        <v>2</v>
      </c>
      <c r="C5" s="33" t="s">
        <v>3</v>
      </c>
      <c r="D5" s="33" t="s">
        <v>4</v>
      </c>
      <c r="E5" s="33" t="s">
        <v>191</v>
      </c>
      <c r="F5" s="33" t="s">
        <v>186</v>
      </c>
      <c r="G5" s="25" t="s">
        <v>5</v>
      </c>
    </row>
    <row r="6" spans="2:10" ht="16.5" thickBot="1" x14ac:dyDescent="0.3">
      <c r="B6" s="26" t="s">
        <v>6</v>
      </c>
      <c r="C6" s="31" t="s">
        <v>7</v>
      </c>
      <c r="D6" s="27" t="s">
        <v>8</v>
      </c>
      <c r="E6" s="95" t="s">
        <v>190</v>
      </c>
      <c r="F6" s="76">
        <v>13</v>
      </c>
      <c r="G6" s="28"/>
    </row>
    <row r="7" spans="2:10" x14ac:dyDescent="0.25">
      <c r="B7" s="6" t="s">
        <v>9</v>
      </c>
      <c r="C7" s="75">
        <f>2155096+335323+29000+C22+C28+70000+5000</f>
        <v>2666543</v>
      </c>
      <c r="D7" s="7"/>
      <c r="E7" s="64"/>
      <c r="F7" s="64"/>
      <c r="G7" s="2">
        <f>SUM(C7:F7)</f>
        <v>2666543</v>
      </c>
    </row>
    <row r="8" spans="2:10" x14ac:dyDescent="0.25">
      <c r="B8" s="8" t="s">
        <v>10</v>
      </c>
      <c r="C8" s="73">
        <f>28311+2392</f>
        <v>30703</v>
      </c>
      <c r="D8" s="9"/>
      <c r="E8" s="64"/>
      <c r="F8" s="64"/>
      <c r="G8" s="2">
        <f t="shared" ref="G8:G14" si="0">SUM(C8:F8)</f>
        <v>30703</v>
      </c>
    </row>
    <row r="9" spans="2:10" x14ac:dyDescent="0.25">
      <c r="B9" s="8" t="s">
        <v>11</v>
      </c>
      <c r="C9" s="9"/>
      <c r="D9" s="9">
        <f>54750+2000+2500+530+750+670-3000-930-1070</f>
        <v>56200</v>
      </c>
      <c r="E9" s="64"/>
      <c r="F9" s="64"/>
      <c r="G9" s="2">
        <f t="shared" si="0"/>
        <v>56200</v>
      </c>
    </row>
    <row r="10" spans="2:10" x14ac:dyDescent="0.25">
      <c r="B10" s="8" t="s">
        <v>169</v>
      </c>
      <c r="C10" s="9">
        <v>2527</v>
      </c>
      <c r="D10" s="9">
        <f>4500+3000+250</f>
        <v>7750</v>
      </c>
      <c r="E10" s="64"/>
      <c r="F10" s="64"/>
      <c r="G10" s="2">
        <f t="shared" si="0"/>
        <v>10277</v>
      </c>
    </row>
    <row r="11" spans="2:10" x14ac:dyDescent="0.25">
      <c r="B11" s="8" t="s">
        <v>170</v>
      </c>
      <c r="C11" s="9"/>
      <c r="D11" s="9"/>
      <c r="E11" s="106">
        <v>729</v>
      </c>
      <c r="F11" s="64"/>
      <c r="G11" s="2">
        <f>SUM(C11:F11)</f>
        <v>729</v>
      </c>
    </row>
    <row r="12" spans="2:10" x14ac:dyDescent="0.25">
      <c r="B12" s="8" t="s">
        <v>12</v>
      </c>
      <c r="C12" s="9"/>
      <c r="D12" s="9"/>
      <c r="E12" s="64"/>
      <c r="F12" s="64"/>
      <c r="G12" s="2">
        <f t="shared" si="0"/>
        <v>0</v>
      </c>
      <c r="J12" s="56"/>
    </row>
    <row r="13" spans="2:10" x14ac:dyDescent="0.25">
      <c r="B13" s="8" t="s">
        <v>13</v>
      </c>
      <c r="C13" s="1">
        <f>2479+27+105</f>
        <v>2611</v>
      </c>
      <c r="D13" s="1">
        <v>5650</v>
      </c>
      <c r="E13" s="9"/>
      <c r="F13" s="9"/>
      <c r="G13" s="2">
        <f t="shared" si="0"/>
        <v>8261</v>
      </c>
    </row>
    <row r="14" spans="2:10" ht="15.75" thickBot="1" x14ac:dyDescent="0.3">
      <c r="B14" s="10" t="s">
        <v>172</v>
      </c>
      <c r="C14" s="1"/>
      <c r="D14" s="1"/>
      <c r="E14" s="37"/>
      <c r="F14" s="37">
        <f>2797+288</f>
        <v>3085</v>
      </c>
      <c r="G14" s="2">
        <f t="shared" si="0"/>
        <v>3085</v>
      </c>
    </row>
    <row r="15" spans="2:10" ht="16.5" thickBot="1" x14ac:dyDescent="0.3">
      <c r="B15" s="29" t="s">
        <v>14</v>
      </c>
      <c r="C15" s="30">
        <f t="shared" ref="C15:F15" si="1">SUM(C7:C14)</f>
        <v>2702384</v>
      </c>
      <c r="D15" s="30">
        <f t="shared" si="1"/>
        <v>69600</v>
      </c>
      <c r="E15" s="30">
        <f t="shared" si="1"/>
        <v>729</v>
      </c>
      <c r="F15" s="30">
        <f t="shared" si="1"/>
        <v>3085</v>
      </c>
      <c r="G15" s="30">
        <f>SUM(G7:G14)</f>
        <v>2775798</v>
      </c>
    </row>
    <row r="16" spans="2:10" ht="6.75" customHeight="1" thickBot="1" x14ac:dyDescent="0.3">
      <c r="B16" s="3"/>
      <c r="C16" s="11"/>
      <c r="D16" s="11"/>
      <c r="E16" s="11"/>
      <c r="F16" s="11"/>
      <c r="G16" s="11"/>
    </row>
    <row r="17" spans="2:9" ht="82.5" thickBot="1" x14ac:dyDescent="0.3">
      <c r="B17" s="24" t="s">
        <v>15</v>
      </c>
      <c r="C17" s="33" t="s">
        <v>3</v>
      </c>
      <c r="D17" s="33" t="s">
        <v>4</v>
      </c>
      <c r="E17" s="33" t="s">
        <v>191</v>
      </c>
      <c r="F17" s="33" t="s">
        <v>186</v>
      </c>
      <c r="G17" s="25" t="s">
        <v>5</v>
      </c>
    </row>
    <row r="18" spans="2:9" ht="16.5" thickBot="1" x14ac:dyDescent="0.3">
      <c r="B18" s="31" t="s">
        <v>6</v>
      </c>
      <c r="C18" s="31" t="s">
        <v>7</v>
      </c>
      <c r="D18" s="27" t="s">
        <v>8</v>
      </c>
      <c r="E18" s="95"/>
      <c r="F18" s="76"/>
      <c r="G18" s="28"/>
    </row>
    <row r="19" spans="2:9" ht="15.75" thickBot="1" x14ac:dyDescent="0.3">
      <c r="B19" s="41" t="s">
        <v>16</v>
      </c>
      <c r="C19" s="45">
        <f>1870011+313095+70000</f>
        <v>2253106</v>
      </c>
      <c r="D19" s="105">
        <f>22550-550</f>
        <v>22000</v>
      </c>
      <c r="E19" s="45"/>
      <c r="F19" s="45">
        <v>288</v>
      </c>
      <c r="G19" s="45">
        <f>SUM(C19:F19)</f>
        <v>2275394</v>
      </c>
    </row>
    <row r="20" spans="2:9" ht="15.75" thickBot="1" x14ac:dyDescent="0.3">
      <c r="B20" s="41" t="s">
        <v>17</v>
      </c>
      <c r="C20" s="45">
        <f>48936+7363</f>
        <v>56299</v>
      </c>
      <c r="D20" s="45">
        <v>400</v>
      </c>
      <c r="E20" s="45"/>
      <c r="F20" s="45"/>
      <c r="G20" s="45">
        <f t="shared" ref="G20:G21" si="2">SUM(C20:F20)</f>
        <v>56699</v>
      </c>
      <c r="I20" s="56"/>
    </row>
    <row r="21" spans="2:9" ht="15.75" thickBot="1" x14ac:dyDescent="0.3">
      <c r="B21" s="41" t="s">
        <v>18</v>
      </c>
      <c r="C21" s="45"/>
      <c r="D21" s="45">
        <f>1800+100</f>
        <v>1900</v>
      </c>
      <c r="E21" s="45"/>
      <c r="F21" s="45"/>
      <c r="G21" s="45">
        <f t="shared" si="2"/>
        <v>1900</v>
      </c>
    </row>
    <row r="22" spans="2:9" ht="15.75" thickBot="1" x14ac:dyDescent="0.3">
      <c r="B22" s="41" t="s">
        <v>19</v>
      </c>
      <c r="C22" s="42">
        <f>+C23+C24+C25+C26+C27</f>
        <v>42624</v>
      </c>
      <c r="D22" s="42">
        <f t="shared" ref="D22:G22" si="3">+D23+D24+D25+D26+D27</f>
        <v>2100</v>
      </c>
      <c r="E22" s="42"/>
      <c r="F22" s="42">
        <f t="shared" si="3"/>
        <v>0</v>
      </c>
      <c r="G22" s="42">
        <f t="shared" si="3"/>
        <v>44724</v>
      </c>
    </row>
    <row r="23" spans="2:9" x14ac:dyDescent="0.25">
      <c r="B23" s="6" t="s">
        <v>20</v>
      </c>
      <c r="C23" s="9"/>
      <c r="D23" s="9">
        <v>600</v>
      </c>
      <c r="E23" s="7"/>
      <c r="F23" s="7"/>
      <c r="G23" s="7">
        <f>SUM(C23:F23)</f>
        <v>600</v>
      </c>
    </row>
    <row r="24" spans="2:9" x14ac:dyDescent="0.25">
      <c r="B24" s="8" t="s">
        <v>185</v>
      </c>
      <c r="C24" s="73">
        <f>7650+9700</f>
        <v>17350</v>
      </c>
      <c r="D24" s="9">
        <v>400</v>
      </c>
      <c r="E24" s="7"/>
      <c r="F24" s="7"/>
      <c r="G24" s="7">
        <f t="shared" ref="G24:G27" si="4">SUM(C24:F24)</f>
        <v>17750</v>
      </c>
    </row>
    <row r="25" spans="2:9" x14ac:dyDescent="0.25">
      <c r="B25" s="8" t="s">
        <v>22</v>
      </c>
      <c r="C25" s="9">
        <f>250-53+303</f>
        <v>500</v>
      </c>
      <c r="D25" s="9">
        <v>100</v>
      </c>
      <c r="E25" s="7"/>
      <c r="F25" s="7"/>
      <c r="G25" s="7">
        <f t="shared" si="4"/>
        <v>600</v>
      </c>
    </row>
    <row r="26" spans="2:9" x14ac:dyDescent="0.25">
      <c r="B26" s="12" t="s">
        <v>23</v>
      </c>
      <c r="C26" s="1">
        <f>750+150+500</f>
        <v>1400</v>
      </c>
      <c r="D26" s="1">
        <v>100</v>
      </c>
      <c r="E26" s="1"/>
      <c r="F26" s="9"/>
      <c r="G26" s="7">
        <f t="shared" si="4"/>
        <v>1500</v>
      </c>
    </row>
    <row r="27" spans="2:9" ht="15.75" thickBot="1" x14ac:dyDescent="0.3">
      <c r="B27" s="8" t="s">
        <v>167</v>
      </c>
      <c r="C27" s="74">
        <f>5600+17774</f>
        <v>23374</v>
      </c>
      <c r="D27" s="74">
        <v>900</v>
      </c>
      <c r="E27" s="90"/>
      <c r="F27" s="13"/>
      <c r="G27" s="7">
        <f t="shared" si="4"/>
        <v>24274</v>
      </c>
    </row>
    <row r="28" spans="2:9" ht="15.75" thickBot="1" x14ac:dyDescent="0.3">
      <c r="B28" s="41" t="s">
        <v>24</v>
      </c>
      <c r="C28" s="45">
        <f t="shared" ref="C28" si="5">+C29</f>
        <v>29500</v>
      </c>
      <c r="D28" s="45">
        <f>+D29+D30</f>
        <v>510</v>
      </c>
      <c r="E28" s="101"/>
      <c r="F28" s="87"/>
      <c r="G28" s="45">
        <f>G29+G30</f>
        <v>30010</v>
      </c>
    </row>
    <row r="29" spans="2:9" x14ac:dyDescent="0.25">
      <c r="B29" s="10" t="s">
        <v>25</v>
      </c>
      <c r="C29" s="13">
        <v>29500</v>
      </c>
      <c r="D29" s="37">
        <v>200</v>
      </c>
      <c r="E29" s="37"/>
      <c r="F29" s="9"/>
      <c r="G29" s="88">
        <f>SUM(C29:D29)</f>
        <v>29700</v>
      </c>
    </row>
    <row r="30" spans="2:9" x14ac:dyDescent="0.25">
      <c r="B30" s="53" t="s">
        <v>178</v>
      </c>
      <c r="C30" s="9"/>
      <c r="D30" s="9">
        <v>310</v>
      </c>
      <c r="E30" s="9"/>
      <c r="F30" s="9"/>
      <c r="G30" s="9">
        <f>SUM(C30:D30)</f>
        <v>310</v>
      </c>
    </row>
    <row r="31" spans="2:9" ht="15.75" thickBot="1" x14ac:dyDescent="0.3">
      <c r="B31" s="48" t="s">
        <v>26</v>
      </c>
      <c r="C31" s="86">
        <f>SUM(C32:C55)</f>
        <v>97482</v>
      </c>
      <c r="D31" s="86">
        <f t="shared" ref="D31" si="6">SUM(D32:D55)</f>
        <v>8170</v>
      </c>
      <c r="E31" s="86"/>
      <c r="F31" s="86"/>
      <c r="G31" s="86">
        <f>SUM(G32:G55)</f>
        <v>105652</v>
      </c>
    </row>
    <row r="32" spans="2:9" x14ac:dyDescent="0.25">
      <c r="B32" s="53" t="s">
        <v>27</v>
      </c>
      <c r="C32" s="9">
        <v>2000</v>
      </c>
      <c r="D32" s="9">
        <f>200+100</f>
        <v>300</v>
      </c>
      <c r="E32" s="9"/>
      <c r="F32" s="9"/>
      <c r="G32" s="9">
        <f>SUM(C32:F32)</f>
        <v>2300</v>
      </c>
    </row>
    <row r="33" spans="2:10" x14ac:dyDescent="0.25">
      <c r="B33" s="53" t="s">
        <v>28</v>
      </c>
      <c r="C33" s="73">
        <v>27392</v>
      </c>
      <c r="D33" s="66">
        <v>500</v>
      </c>
      <c r="E33" s="66"/>
      <c r="F33" s="9"/>
      <c r="G33" s="9">
        <f t="shared" ref="G33:G55" si="7">SUM(C33:F33)</f>
        <v>27892</v>
      </c>
    </row>
    <row r="34" spans="2:10" x14ac:dyDescent="0.25">
      <c r="B34" s="53" t="s">
        <v>29</v>
      </c>
      <c r="C34" s="73">
        <f>11000+1500</f>
        <v>12500</v>
      </c>
      <c r="D34" s="66">
        <v>100</v>
      </c>
      <c r="E34" s="66"/>
      <c r="F34" s="9"/>
      <c r="G34" s="9">
        <f t="shared" si="7"/>
        <v>12600</v>
      </c>
    </row>
    <row r="35" spans="2:10" x14ac:dyDescent="0.25">
      <c r="B35" s="53" t="s">
        <v>30</v>
      </c>
      <c r="C35" s="73">
        <v>100</v>
      </c>
      <c r="D35" s="9"/>
      <c r="E35" s="9"/>
      <c r="F35" s="9"/>
      <c r="G35" s="9">
        <f t="shared" si="7"/>
        <v>100</v>
      </c>
    </row>
    <row r="36" spans="2:10" x14ac:dyDescent="0.25">
      <c r="B36" s="53" t="s">
        <v>31</v>
      </c>
      <c r="C36" s="73">
        <v>21000</v>
      </c>
      <c r="D36" s="66">
        <v>2500</v>
      </c>
      <c r="E36" s="66"/>
      <c r="F36" s="9"/>
      <c r="G36" s="9">
        <f t="shared" si="7"/>
        <v>23500</v>
      </c>
    </row>
    <row r="37" spans="2:10" x14ac:dyDescent="0.25">
      <c r="B37" s="53" t="s">
        <v>32</v>
      </c>
      <c r="C37" s="73">
        <v>6540</v>
      </c>
      <c r="D37" s="9"/>
      <c r="E37" s="9"/>
      <c r="F37" s="9"/>
      <c r="G37" s="9">
        <f t="shared" si="7"/>
        <v>6540</v>
      </c>
      <c r="J37" s="56"/>
    </row>
    <row r="38" spans="2:10" x14ac:dyDescent="0.25">
      <c r="B38" s="53" t="s">
        <v>33</v>
      </c>
      <c r="C38" s="9">
        <v>500</v>
      </c>
      <c r="D38" s="9"/>
      <c r="E38" s="9"/>
      <c r="F38" s="9"/>
      <c r="G38" s="9">
        <f t="shared" si="7"/>
        <v>500</v>
      </c>
    </row>
    <row r="39" spans="2:10" x14ac:dyDescent="0.25">
      <c r="B39" s="53" t="s">
        <v>34</v>
      </c>
      <c r="C39" s="9">
        <v>550</v>
      </c>
      <c r="D39" s="9"/>
      <c r="E39" s="9"/>
      <c r="F39" s="9"/>
      <c r="G39" s="9">
        <f t="shared" si="7"/>
        <v>550</v>
      </c>
    </row>
    <row r="40" spans="2:10" x14ac:dyDescent="0.25">
      <c r="B40" s="53" t="s">
        <v>35</v>
      </c>
      <c r="C40" s="9">
        <v>6000</v>
      </c>
      <c r="D40" s="9"/>
      <c r="E40" s="9"/>
      <c r="F40" s="9"/>
      <c r="G40" s="9">
        <f t="shared" si="7"/>
        <v>6000</v>
      </c>
    </row>
    <row r="41" spans="2:10" x14ac:dyDescent="0.25">
      <c r="B41" s="53" t="s">
        <v>36</v>
      </c>
      <c r="C41" s="9">
        <v>3600</v>
      </c>
      <c r="D41" s="9">
        <v>3600</v>
      </c>
      <c r="E41" s="9"/>
      <c r="F41" s="9"/>
      <c r="G41" s="9">
        <f t="shared" si="7"/>
        <v>7200</v>
      </c>
    </row>
    <row r="42" spans="2:10" x14ac:dyDescent="0.25">
      <c r="B42" s="53" t="s">
        <v>37</v>
      </c>
      <c r="C42" s="9">
        <v>6600</v>
      </c>
      <c r="D42" s="9"/>
      <c r="E42" s="9"/>
      <c r="F42" s="9"/>
      <c r="G42" s="9">
        <f t="shared" si="7"/>
        <v>6600</v>
      </c>
    </row>
    <row r="43" spans="2:10" x14ac:dyDescent="0.25">
      <c r="B43" s="53" t="s">
        <v>38</v>
      </c>
      <c r="C43" s="9">
        <v>2700</v>
      </c>
      <c r="D43" s="9"/>
      <c r="E43" s="9"/>
      <c r="F43" s="9"/>
      <c r="G43" s="9">
        <f t="shared" si="7"/>
        <v>2700</v>
      </c>
    </row>
    <row r="44" spans="2:10" x14ac:dyDescent="0.25">
      <c r="B44" s="53" t="s">
        <v>39</v>
      </c>
      <c r="C44" s="9">
        <v>1500</v>
      </c>
      <c r="D44" s="9"/>
      <c r="E44" s="9"/>
      <c r="F44" s="9"/>
      <c r="G44" s="9">
        <f t="shared" si="7"/>
        <v>1500</v>
      </c>
    </row>
    <row r="45" spans="2:10" x14ac:dyDescent="0.25">
      <c r="B45" s="53" t="s">
        <v>40</v>
      </c>
      <c r="C45" s="9"/>
      <c r="D45" s="9"/>
      <c r="E45" s="9"/>
      <c r="F45" s="9"/>
      <c r="G45" s="9">
        <f t="shared" si="7"/>
        <v>0</v>
      </c>
    </row>
    <row r="46" spans="2:10" x14ac:dyDescent="0.25">
      <c r="B46" s="53" t="s">
        <v>41</v>
      </c>
      <c r="C46" s="9">
        <v>600</v>
      </c>
      <c r="D46" s="9">
        <v>50</v>
      </c>
      <c r="E46" s="9"/>
      <c r="F46" s="9"/>
      <c r="G46" s="9">
        <f t="shared" si="7"/>
        <v>650</v>
      </c>
    </row>
    <row r="47" spans="2:10" x14ac:dyDescent="0.25">
      <c r="B47" s="53" t="s">
        <v>42</v>
      </c>
      <c r="C47" s="9">
        <v>350</v>
      </c>
      <c r="D47" s="9"/>
      <c r="E47" s="9"/>
      <c r="F47" s="9"/>
      <c r="G47" s="9">
        <f t="shared" si="7"/>
        <v>350</v>
      </c>
    </row>
    <row r="48" spans="2:10" x14ac:dyDescent="0.25">
      <c r="B48" s="53" t="s">
        <v>43</v>
      </c>
      <c r="C48" s="9">
        <v>550</v>
      </c>
      <c r="D48" s="9"/>
      <c r="E48" s="9"/>
      <c r="F48" s="9"/>
      <c r="G48" s="9">
        <f t="shared" si="7"/>
        <v>550</v>
      </c>
    </row>
    <row r="49" spans="2:7" x14ac:dyDescent="0.25">
      <c r="B49" s="53" t="s">
        <v>44</v>
      </c>
      <c r="C49" s="9">
        <v>3800</v>
      </c>
      <c r="D49" s="9"/>
      <c r="E49" s="9"/>
      <c r="F49" s="9"/>
      <c r="G49" s="9">
        <f t="shared" si="7"/>
        <v>3800</v>
      </c>
    </row>
    <row r="50" spans="2:7" x14ac:dyDescent="0.25">
      <c r="B50" s="53" t="s">
        <v>45</v>
      </c>
      <c r="C50" s="9">
        <v>1200</v>
      </c>
      <c r="D50" s="9"/>
      <c r="E50" s="9"/>
      <c r="F50" s="9"/>
      <c r="G50" s="9">
        <f t="shared" si="7"/>
        <v>1200</v>
      </c>
    </row>
    <row r="51" spans="2:7" x14ac:dyDescent="0.25">
      <c r="B51" s="53" t="s">
        <v>46</v>
      </c>
      <c r="C51" s="9"/>
      <c r="D51" s="9">
        <v>280</v>
      </c>
      <c r="E51" s="9"/>
      <c r="F51" s="9"/>
      <c r="G51" s="9">
        <f t="shared" si="7"/>
        <v>280</v>
      </c>
    </row>
    <row r="52" spans="2:7" x14ac:dyDescent="0.25">
      <c r="B52" s="53" t="s">
        <v>153</v>
      </c>
      <c r="C52" s="9"/>
      <c r="D52" s="9">
        <f>110+30</f>
        <v>140</v>
      </c>
      <c r="E52" s="9"/>
      <c r="F52" s="9"/>
      <c r="G52" s="9">
        <f t="shared" si="7"/>
        <v>140</v>
      </c>
    </row>
    <row r="53" spans="2:7" x14ac:dyDescent="0.25">
      <c r="B53" s="53" t="s">
        <v>47</v>
      </c>
      <c r="C53" s="9"/>
      <c r="D53" s="9"/>
      <c r="E53" s="9"/>
      <c r="F53" s="9"/>
      <c r="G53" s="9">
        <f t="shared" si="7"/>
        <v>0</v>
      </c>
    </row>
    <row r="54" spans="2:7" x14ac:dyDescent="0.25">
      <c r="B54" s="54" t="s">
        <v>48</v>
      </c>
      <c r="C54" s="9"/>
      <c r="D54" s="9">
        <f>200-20+50</f>
        <v>230</v>
      </c>
      <c r="E54" s="9"/>
      <c r="F54" s="9"/>
      <c r="G54" s="9">
        <f t="shared" si="7"/>
        <v>230</v>
      </c>
    </row>
    <row r="55" spans="2:7" ht="15.75" thickBot="1" x14ac:dyDescent="0.3">
      <c r="B55" s="53" t="s">
        <v>49</v>
      </c>
      <c r="C55" s="55"/>
      <c r="D55" s="9">
        <f>150+100+50+50+20+100</f>
        <v>470</v>
      </c>
      <c r="E55" s="9"/>
      <c r="F55" s="55"/>
      <c r="G55" s="9">
        <f t="shared" si="7"/>
        <v>470</v>
      </c>
    </row>
    <row r="56" spans="2:7" ht="15.75" thickBot="1" x14ac:dyDescent="0.3">
      <c r="B56" s="41" t="s">
        <v>50</v>
      </c>
      <c r="C56" s="42">
        <f>SUM(C57:C65)</f>
        <v>0</v>
      </c>
      <c r="D56" s="42">
        <f t="shared" ref="D56" si="8">SUM(D57:D65)</f>
        <v>1276</v>
      </c>
      <c r="E56" s="42"/>
      <c r="F56" s="42"/>
      <c r="G56" s="44">
        <f>SUM(G57:G65)</f>
        <v>1276</v>
      </c>
    </row>
    <row r="57" spans="2:7" x14ac:dyDescent="0.25">
      <c r="B57" s="4" t="s">
        <v>51</v>
      </c>
      <c r="C57" s="7"/>
      <c r="D57" s="7">
        <v>0</v>
      </c>
      <c r="E57" s="7"/>
      <c r="F57" s="7"/>
      <c r="G57" s="7">
        <f>SUM(C57:F57)</f>
        <v>0</v>
      </c>
    </row>
    <row r="58" spans="2:7" x14ac:dyDescent="0.25">
      <c r="B58" s="8" t="s">
        <v>52</v>
      </c>
      <c r="C58" s="9"/>
      <c r="D58" s="9">
        <v>150</v>
      </c>
      <c r="E58" s="9"/>
      <c r="F58" s="9"/>
      <c r="G58" s="7">
        <f t="shared" ref="G58:G65" si="9">SUM(C58:F58)</f>
        <v>150</v>
      </c>
    </row>
    <row r="59" spans="2:7" x14ac:dyDescent="0.25">
      <c r="B59" s="8" t="s">
        <v>53</v>
      </c>
      <c r="C59" s="9"/>
      <c r="D59" s="9">
        <v>250</v>
      </c>
      <c r="E59" s="9"/>
      <c r="F59" s="9"/>
      <c r="G59" s="7">
        <f t="shared" si="9"/>
        <v>250</v>
      </c>
    </row>
    <row r="60" spans="2:7" x14ac:dyDescent="0.25">
      <c r="B60" s="8" t="s">
        <v>54</v>
      </c>
      <c r="C60" s="9"/>
      <c r="D60" s="9">
        <v>100</v>
      </c>
      <c r="E60" s="9"/>
      <c r="F60" s="9"/>
      <c r="G60" s="7">
        <f t="shared" si="9"/>
        <v>100</v>
      </c>
    </row>
    <row r="61" spans="2:7" x14ac:dyDescent="0.25">
      <c r="B61" s="8" t="s">
        <v>55</v>
      </c>
      <c r="C61" s="9"/>
      <c r="D61" s="9">
        <v>150</v>
      </c>
      <c r="E61" s="9"/>
      <c r="F61" s="9"/>
      <c r="G61" s="7">
        <f t="shared" si="9"/>
        <v>150</v>
      </c>
    </row>
    <row r="62" spans="2:7" x14ac:dyDescent="0.25">
      <c r="B62" s="8" t="s">
        <v>56</v>
      </c>
      <c r="C62" s="9"/>
      <c r="D62" s="9">
        <v>150</v>
      </c>
      <c r="E62" s="9"/>
      <c r="F62" s="9"/>
      <c r="G62" s="7">
        <f t="shared" si="9"/>
        <v>150</v>
      </c>
    </row>
    <row r="63" spans="2:7" x14ac:dyDescent="0.25">
      <c r="B63" s="8" t="s">
        <v>57</v>
      </c>
      <c r="C63" s="9"/>
      <c r="D63" s="9">
        <v>150</v>
      </c>
      <c r="E63" s="9"/>
      <c r="F63" s="9"/>
      <c r="G63" s="7">
        <f t="shared" si="9"/>
        <v>150</v>
      </c>
    </row>
    <row r="64" spans="2:7" x14ac:dyDescent="0.25">
      <c r="B64" s="8" t="s">
        <v>58</v>
      </c>
      <c r="C64" s="9"/>
      <c r="D64" s="9">
        <v>50</v>
      </c>
      <c r="E64" s="9"/>
      <c r="F64" s="9"/>
      <c r="G64" s="7">
        <f t="shared" si="9"/>
        <v>50</v>
      </c>
    </row>
    <row r="65" spans="2:7" ht="15.75" thickBot="1" x14ac:dyDescent="0.3">
      <c r="B65" s="12" t="s">
        <v>59</v>
      </c>
      <c r="C65" s="1"/>
      <c r="D65" s="1">
        <f>76+200</f>
        <v>276</v>
      </c>
      <c r="E65" s="1"/>
      <c r="F65" s="1"/>
      <c r="G65" s="7">
        <f t="shared" si="9"/>
        <v>276</v>
      </c>
    </row>
    <row r="66" spans="2:7" ht="15.75" thickBot="1" x14ac:dyDescent="0.3">
      <c r="B66" s="41" t="s">
        <v>60</v>
      </c>
      <c r="C66" s="42">
        <f>SUM(C67:C90)</f>
        <v>21150</v>
      </c>
      <c r="D66" s="42">
        <f t="shared" ref="D66" si="10">SUM(D67:D90)</f>
        <v>10094</v>
      </c>
      <c r="E66" s="42"/>
      <c r="F66" s="42"/>
      <c r="G66" s="44">
        <f>SUM(G67:G90)</f>
        <v>31244</v>
      </c>
    </row>
    <row r="67" spans="2:7" x14ac:dyDescent="0.25">
      <c r="B67" s="14" t="s">
        <v>165</v>
      </c>
      <c r="C67" s="7"/>
      <c r="D67" s="7">
        <v>300</v>
      </c>
      <c r="E67" s="64"/>
      <c r="F67" s="64"/>
      <c r="G67" s="2">
        <f t="shared" ref="G67:G90" si="11">SUM(C67:F67)</f>
        <v>300</v>
      </c>
    </row>
    <row r="68" spans="2:7" x14ac:dyDescent="0.25">
      <c r="B68" s="14" t="s">
        <v>61</v>
      </c>
      <c r="C68" s="7"/>
      <c r="D68" s="7">
        <f>300+250+50</f>
        <v>600</v>
      </c>
      <c r="E68" s="64"/>
      <c r="F68" s="64"/>
      <c r="G68" s="2">
        <f t="shared" si="11"/>
        <v>600</v>
      </c>
    </row>
    <row r="69" spans="2:7" x14ac:dyDescent="0.25">
      <c r="B69" s="8" t="s">
        <v>62</v>
      </c>
      <c r="C69" s="9"/>
      <c r="D69" s="9">
        <v>480</v>
      </c>
      <c r="E69" s="64"/>
      <c r="F69" s="64"/>
      <c r="G69" s="2">
        <f t="shared" si="11"/>
        <v>480</v>
      </c>
    </row>
    <row r="70" spans="2:7" x14ac:dyDescent="0.25">
      <c r="B70" s="8" t="s">
        <v>63</v>
      </c>
      <c r="C70" s="9">
        <v>3500</v>
      </c>
      <c r="D70" s="9"/>
      <c r="E70" s="64"/>
      <c r="F70" s="64"/>
      <c r="G70" s="2">
        <f t="shared" si="11"/>
        <v>3500</v>
      </c>
    </row>
    <row r="71" spans="2:7" x14ac:dyDescent="0.25">
      <c r="B71" s="8" t="s">
        <v>64</v>
      </c>
      <c r="C71" s="73">
        <v>7500</v>
      </c>
      <c r="D71" s="9"/>
      <c r="E71" s="64"/>
      <c r="F71" s="64"/>
      <c r="G71" s="2">
        <f t="shared" si="11"/>
        <v>7500</v>
      </c>
    </row>
    <row r="72" spans="2:7" x14ac:dyDescent="0.25">
      <c r="B72" s="8" t="s">
        <v>65</v>
      </c>
      <c r="C72" s="9"/>
      <c r="D72" s="66">
        <f>200+100+150</f>
        <v>450</v>
      </c>
      <c r="E72" s="96"/>
      <c r="F72" s="64"/>
      <c r="G72" s="2">
        <f t="shared" si="11"/>
        <v>450</v>
      </c>
    </row>
    <row r="73" spans="2:7" x14ac:dyDescent="0.25">
      <c r="B73" s="8" t="s">
        <v>66</v>
      </c>
      <c r="C73" s="9">
        <v>4800</v>
      </c>
      <c r="D73" s="104">
        <f>450+250+550</f>
        <v>1250</v>
      </c>
      <c r="E73" s="97"/>
      <c r="F73" s="64"/>
      <c r="G73" s="2">
        <f t="shared" si="11"/>
        <v>6050</v>
      </c>
    </row>
    <row r="74" spans="2:7" x14ac:dyDescent="0.25">
      <c r="B74" s="8" t="s">
        <v>67</v>
      </c>
      <c r="C74" s="9"/>
      <c r="D74" s="9">
        <f>400-150-50</f>
        <v>200</v>
      </c>
      <c r="E74" s="64"/>
      <c r="F74" s="64"/>
      <c r="G74" s="2">
        <f t="shared" si="11"/>
        <v>200</v>
      </c>
    </row>
    <row r="75" spans="2:7" x14ac:dyDescent="0.25">
      <c r="B75" s="8" t="s">
        <v>68</v>
      </c>
      <c r="C75" s="9"/>
      <c r="D75" s="9">
        <f>100-100</f>
        <v>0</v>
      </c>
      <c r="E75" s="64"/>
      <c r="F75" s="64"/>
      <c r="G75" s="2">
        <f t="shared" si="11"/>
        <v>0</v>
      </c>
    </row>
    <row r="76" spans="2:7" x14ac:dyDescent="0.25">
      <c r="B76" s="8" t="s">
        <v>69</v>
      </c>
      <c r="C76" s="9"/>
      <c r="D76" s="9">
        <v>100</v>
      </c>
      <c r="E76" s="64"/>
      <c r="F76" s="64"/>
      <c r="G76" s="2">
        <f t="shared" si="11"/>
        <v>100</v>
      </c>
    </row>
    <row r="77" spans="2:7" x14ac:dyDescent="0.25">
      <c r="B77" s="8" t="s">
        <v>70</v>
      </c>
      <c r="C77" s="9"/>
      <c r="D77" s="9">
        <f>100+100</f>
        <v>200</v>
      </c>
      <c r="E77" s="64"/>
      <c r="F77" s="64"/>
      <c r="G77" s="2">
        <f t="shared" si="11"/>
        <v>200</v>
      </c>
    </row>
    <row r="78" spans="2:7" x14ac:dyDescent="0.25">
      <c r="B78" s="8" t="s">
        <v>71</v>
      </c>
      <c r="C78" s="9"/>
      <c r="D78" s="9">
        <v>100</v>
      </c>
      <c r="E78" s="64"/>
      <c r="F78" s="64"/>
      <c r="G78" s="2">
        <f t="shared" si="11"/>
        <v>100</v>
      </c>
    </row>
    <row r="79" spans="2:7" x14ac:dyDescent="0.25">
      <c r="B79" s="8" t="s">
        <v>72</v>
      </c>
      <c r="C79" s="9">
        <f>200-50</f>
        <v>150</v>
      </c>
      <c r="D79" s="9"/>
      <c r="E79" s="64"/>
      <c r="F79" s="64"/>
      <c r="G79" s="2">
        <f t="shared" si="11"/>
        <v>150</v>
      </c>
    </row>
    <row r="80" spans="2:7" x14ac:dyDescent="0.25">
      <c r="B80" s="8" t="s">
        <v>73</v>
      </c>
      <c r="C80" s="9"/>
      <c r="D80" s="9">
        <v>600</v>
      </c>
      <c r="E80" s="64"/>
      <c r="F80" s="64"/>
      <c r="G80" s="2">
        <f t="shared" si="11"/>
        <v>600</v>
      </c>
    </row>
    <row r="81" spans="2:7" x14ac:dyDescent="0.25">
      <c r="B81" s="8" t="s">
        <v>74</v>
      </c>
      <c r="C81" s="9"/>
      <c r="D81" s="9">
        <v>400</v>
      </c>
      <c r="E81" s="64"/>
      <c r="F81" s="64"/>
      <c r="G81" s="2">
        <f t="shared" si="11"/>
        <v>400</v>
      </c>
    </row>
    <row r="82" spans="2:7" x14ac:dyDescent="0.25">
      <c r="B82" s="8" t="s">
        <v>75</v>
      </c>
      <c r="C82" s="9"/>
      <c r="D82" s="9">
        <v>50</v>
      </c>
      <c r="E82" s="64"/>
      <c r="F82" s="64"/>
      <c r="G82" s="2">
        <f t="shared" si="11"/>
        <v>50</v>
      </c>
    </row>
    <row r="83" spans="2:7" x14ac:dyDescent="0.25">
      <c r="B83" s="8" t="s">
        <v>76</v>
      </c>
      <c r="C83" s="16"/>
      <c r="D83" s="9">
        <v>1000</v>
      </c>
      <c r="E83" s="64"/>
      <c r="F83" s="64"/>
      <c r="G83" s="2">
        <f t="shared" si="11"/>
        <v>1000</v>
      </c>
    </row>
    <row r="84" spans="2:7" x14ac:dyDescent="0.25">
      <c r="B84" s="15" t="s">
        <v>77</v>
      </c>
      <c r="C84" s="16"/>
      <c r="D84" s="102">
        <f>150-50</f>
        <v>100</v>
      </c>
      <c r="E84" s="64"/>
      <c r="F84" s="64"/>
      <c r="G84" s="2">
        <f t="shared" si="11"/>
        <v>100</v>
      </c>
    </row>
    <row r="85" spans="2:7" x14ac:dyDescent="0.25">
      <c r="B85" s="6" t="s">
        <v>78</v>
      </c>
      <c r="C85" s="9"/>
      <c r="D85" s="9">
        <v>1500</v>
      </c>
      <c r="E85" s="64"/>
      <c r="F85" s="64"/>
      <c r="G85" s="2">
        <f t="shared" si="11"/>
        <v>1500</v>
      </c>
    </row>
    <row r="86" spans="2:7" x14ac:dyDescent="0.25">
      <c r="B86" s="8" t="s">
        <v>79</v>
      </c>
      <c r="C86" s="9"/>
      <c r="D86" s="9">
        <f>600-C84250</f>
        <v>600</v>
      </c>
      <c r="E86" s="64"/>
      <c r="F86" s="64"/>
      <c r="G86" s="2">
        <f t="shared" si="11"/>
        <v>600</v>
      </c>
    </row>
    <row r="87" spans="2:7" x14ac:dyDescent="0.25">
      <c r="B87" s="8" t="s">
        <v>80</v>
      </c>
      <c r="C87" s="9">
        <v>5200</v>
      </c>
      <c r="D87" s="9"/>
      <c r="E87" s="64"/>
      <c r="F87" s="64"/>
      <c r="G87" s="2">
        <f t="shared" si="11"/>
        <v>5200</v>
      </c>
    </row>
    <row r="88" spans="2:7" x14ac:dyDescent="0.25">
      <c r="B88" s="8" t="s">
        <v>81</v>
      </c>
      <c r="C88" s="9"/>
      <c r="D88" s="9">
        <v>444</v>
      </c>
      <c r="E88" s="64"/>
      <c r="F88" s="64"/>
      <c r="G88" s="2">
        <f t="shared" si="11"/>
        <v>444</v>
      </c>
    </row>
    <row r="89" spans="2:7" x14ac:dyDescent="0.25">
      <c r="B89" s="8" t="s">
        <v>82</v>
      </c>
      <c r="C89" s="9"/>
      <c r="D89" s="9">
        <v>100</v>
      </c>
      <c r="E89" s="64"/>
      <c r="F89" s="64"/>
      <c r="G89" s="2">
        <f t="shared" si="11"/>
        <v>100</v>
      </c>
    </row>
    <row r="90" spans="2:7" ht="15.75" thickBot="1" x14ac:dyDescent="0.3">
      <c r="B90" s="12" t="s">
        <v>83</v>
      </c>
      <c r="C90" s="1"/>
      <c r="D90" s="1">
        <f>1800-280+100</f>
        <v>1620</v>
      </c>
      <c r="E90" s="37"/>
      <c r="F90" s="37"/>
      <c r="G90" s="2">
        <f t="shared" si="11"/>
        <v>1620</v>
      </c>
    </row>
    <row r="91" spans="2:7" ht="15.75" thickBot="1" x14ac:dyDescent="0.3">
      <c r="B91" s="41" t="s">
        <v>84</v>
      </c>
      <c r="C91" s="45">
        <f>SUM(C92:C97)</f>
        <v>1650</v>
      </c>
      <c r="D91" s="45">
        <f t="shared" ref="D91:F91" si="12">SUM(D92:D97)</f>
        <v>7900</v>
      </c>
      <c r="E91" s="45"/>
      <c r="F91" s="45">
        <f t="shared" si="12"/>
        <v>0</v>
      </c>
      <c r="G91" s="45">
        <f>SUM(G92:G97)</f>
        <v>9550</v>
      </c>
    </row>
    <row r="92" spans="2:7" x14ac:dyDescent="0.25">
      <c r="B92" s="6" t="s">
        <v>85</v>
      </c>
      <c r="C92" s="7">
        <f>500-450</f>
        <v>50</v>
      </c>
      <c r="D92" s="7">
        <v>50</v>
      </c>
      <c r="E92" s="64"/>
      <c r="F92" s="64"/>
      <c r="G92" s="78">
        <f>SUM(C92:F92)</f>
        <v>100</v>
      </c>
    </row>
    <row r="93" spans="2:7" x14ac:dyDescent="0.25">
      <c r="B93" s="8" t="s">
        <v>86</v>
      </c>
      <c r="C93" s="9">
        <v>600</v>
      </c>
      <c r="D93" s="9"/>
      <c r="E93" s="64"/>
      <c r="F93" s="64"/>
      <c r="G93" s="9">
        <f t="shared" ref="G93:G97" si="13">SUM(C93:F93)</f>
        <v>600</v>
      </c>
    </row>
    <row r="94" spans="2:7" x14ac:dyDescent="0.25">
      <c r="B94" s="8" t="s">
        <v>157</v>
      </c>
      <c r="C94" s="9"/>
      <c r="D94" s="9">
        <f>2000+800+1000</f>
        <v>3800</v>
      </c>
      <c r="E94" s="64"/>
      <c r="F94" s="64"/>
      <c r="G94" s="9">
        <f t="shared" si="13"/>
        <v>3800</v>
      </c>
    </row>
    <row r="95" spans="2:7" x14ac:dyDescent="0.25">
      <c r="B95" s="8" t="s">
        <v>87</v>
      </c>
      <c r="C95" s="9">
        <v>1000</v>
      </c>
      <c r="D95" s="102">
        <f>200+300+500</f>
        <v>1000</v>
      </c>
      <c r="E95" s="64"/>
      <c r="F95" s="64"/>
      <c r="G95" s="9">
        <f t="shared" si="13"/>
        <v>2000</v>
      </c>
    </row>
    <row r="96" spans="2:7" x14ac:dyDescent="0.25">
      <c r="B96" s="8" t="s">
        <v>88</v>
      </c>
      <c r="C96" s="9"/>
      <c r="D96" s="9">
        <v>50</v>
      </c>
      <c r="E96" s="64"/>
      <c r="F96" s="64"/>
      <c r="G96" s="9">
        <f t="shared" si="13"/>
        <v>50</v>
      </c>
    </row>
    <row r="97" spans="2:7" ht="15.75" thickBot="1" x14ac:dyDescent="0.3">
      <c r="B97" s="12" t="s">
        <v>89</v>
      </c>
      <c r="C97" s="1"/>
      <c r="D97" s="93">
        <f>3500-500</f>
        <v>3000</v>
      </c>
      <c r="E97" s="98"/>
      <c r="F97" s="37"/>
      <c r="G97" s="2">
        <f t="shared" si="13"/>
        <v>3000</v>
      </c>
    </row>
    <row r="98" spans="2:7" ht="15.75" thickBot="1" x14ac:dyDescent="0.3">
      <c r="B98" s="41" t="s">
        <v>90</v>
      </c>
      <c r="C98" s="45">
        <f>SUM(C99:C122)</f>
        <v>24460</v>
      </c>
      <c r="D98" s="45">
        <f t="shared" ref="D98" si="14">SUM(D99:D122)</f>
        <v>1860</v>
      </c>
      <c r="E98" s="45"/>
      <c r="F98" s="45"/>
      <c r="G98" s="45">
        <f>SUM(G99:G122)</f>
        <v>26320</v>
      </c>
    </row>
    <row r="99" spans="2:7" x14ac:dyDescent="0.25">
      <c r="B99" s="6" t="s">
        <v>91</v>
      </c>
      <c r="C99" s="75">
        <v>800</v>
      </c>
      <c r="D99" s="7"/>
      <c r="E99" s="7"/>
      <c r="F99" s="7"/>
      <c r="G99" s="9">
        <f>SUM(C99:F99)</f>
        <v>800</v>
      </c>
    </row>
    <row r="100" spans="2:7" x14ac:dyDescent="0.25">
      <c r="B100" s="8" t="s">
        <v>92</v>
      </c>
      <c r="C100" s="73">
        <v>200</v>
      </c>
      <c r="D100" s="9"/>
      <c r="E100" s="9"/>
      <c r="F100" s="9"/>
      <c r="G100" s="9">
        <f t="shared" ref="G100:G122" si="15">SUM(C100:F100)</f>
        <v>200</v>
      </c>
    </row>
    <row r="101" spans="2:7" x14ac:dyDescent="0.25">
      <c r="B101" s="8" t="s">
        <v>149</v>
      </c>
      <c r="C101" s="73">
        <v>1290</v>
      </c>
      <c r="D101" s="9"/>
      <c r="E101" s="9"/>
      <c r="F101" s="9"/>
      <c r="G101" s="9">
        <f t="shared" si="15"/>
        <v>1290</v>
      </c>
    </row>
    <row r="102" spans="2:7" x14ac:dyDescent="0.25">
      <c r="B102" s="8" t="s">
        <v>93</v>
      </c>
      <c r="C102" s="73">
        <v>200</v>
      </c>
      <c r="D102" s="9"/>
      <c r="E102" s="9"/>
      <c r="F102" s="9"/>
      <c r="G102" s="9">
        <f t="shared" si="15"/>
        <v>200</v>
      </c>
    </row>
    <row r="103" spans="2:7" x14ac:dyDescent="0.25">
      <c r="B103" s="8" t="s">
        <v>94</v>
      </c>
      <c r="C103" s="73">
        <v>800</v>
      </c>
      <c r="D103" s="9"/>
      <c r="E103" s="9"/>
      <c r="F103" s="9"/>
      <c r="G103" s="9">
        <f t="shared" si="15"/>
        <v>800</v>
      </c>
    </row>
    <row r="104" spans="2:7" x14ac:dyDescent="0.25">
      <c r="B104" s="8" t="s">
        <v>95</v>
      </c>
      <c r="C104" s="73">
        <v>300</v>
      </c>
      <c r="D104" s="9"/>
      <c r="E104" s="9"/>
      <c r="F104" s="9"/>
      <c r="G104" s="9">
        <f t="shared" si="15"/>
        <v>300</v>
      </c>
    </row>
    <row r="105" spans="2:7" x14ac:dyDescent="0.25">
      <c r="B105" s="8" t="s">
        <v>96</v>
      </c>
      <c r="C105" s="73">
        <v>1250</v>
      </c>
      <c r="D105" s="9">
        <v>10</v>
      </c>
      <c r="E105" s="9"/>
      <c r="F105" s="9"/>
      <c r="G105" s="9">
        <f t="shared" si="15"/>
        <v>1260</v>
      </c>
    </row>
    <row r="106" spans="2:7" x14ac:dyDescent="0.25">
      <c r="B106" s="8" t="s">
        <v>160</v>
      </c>
      <c r="C106" s="73">
        <v>0</v>
      </c>
      <c r="D106" s="9"/>
      <c r="E106" s="9"/>
      <c r="F106" s="9"/>
      <c r="G106" s="9">
        <f t="shared" si="15"/>
        <v>0</v>
      </c>
    </row>
    <row r="107" spans="2:7" x14ac:dyDescent="0.25">
      <c r="B107" s="8" t="s">
        <v>97</v>
      </c>
      <c r="C107" s="73">
        <v>1200</v>
      </c>
      <c r="D107" s="9"/>
      <c r="E107" s="9"/>
      <c r="F107" s="9"/>
      <c r="G107" s="9">
        <f t="shared" si="15"/>
        <v>1200</v>
      </c>
    </row>
    <row r="108" spans="2:7" x14ac:dyDescent="0.25">
      <c r="B108" s="8" t="s">
        <v>98</v>
      </c>
      <c r="C108" s="73">
        <v>1200</v>
      </c>
      <c r="D108" s="9"/>
      <c r="E108" s="9"/>
      <c r="F108" s="9"/>
      <c r="G108" s="9">
        <f t="shared" si="15"/>
        <v>1200</v>
      </c>
    </row>
    <row r="109" spans="2:7" x14ac:dyDescent="0.25">
      <c r="B109" s="8" t="s">
        <v>99</v>
      </c>
      <c r="C109" s="9">
        <v>5000</v>
      </c>
      <c r="D109" s="9"/>
      <c r="E109" s="9"/>
      <c r="F109" s="9"/>
      <c r="G109" s="9">
        <f t="shared" si="15"/>
        <v>5000</v>
      </c>
    </row>
    <row r="110" spans="2:7" x14ac:dyDescent="0.25">
      <c r="B110" s="8" t="s">
        <v>100</v>
      </c>
      <c r="C110" s="9"/>
      <c r="D110" s="9">
        <v>100</v>
      </c>
      <c r="E110" s="9"/>
      <c r="F110" s="9"/>
      <c r="G110" s="9">
        <f t="shared" si="15"/>
        <v>100</v>
      </c>
    </row>
    <row r="111" spans="2:7" x14ac:dyDescent="0.25">
      <c r="B111" s="8" t="s">
        <v>161</v>
      </c>
      <c r="C111" s="9"/>
      <c r="D111" s="9"/>
      <c r="E111" s="9"/>
      <c r="F111" s="9"/>
      <c r="G111" s="9">
        <f t="shared" si="15"/>
        <v>0</v>
      </c>
    </row>
    <row r="112" spans="2:7" x14ac:dyDescent="0.25">
      <c r="B112" s="8" t="s">
        <v>101</v>
      </c>
      <c r="C112" s="73">
        <v>900</v>
      </c>
      <c r="D112" s="9"/>
      <c r="E112" s="9"/>
      <c r="F112" s="9"/>
      <c r="G112" s="9">
        <f t="shared" si="15"/>
        <v>900</v>
      </c>
    </row>
    <row r="113" spans="2:11" x14ac:dyDescent="0.25">
      <c r="B113" s="8" t="s">
        <v>102</v>
      </c>
      <c r="C113" s="73">
        <v>1200</v>
      </c>
      <c r="D113" s="9"/>
      <c r="E113" s="9"/>
      <c r="F113" s="9"/>
      <c r="G113" s="9">
        <f t="shared" si="15"/>
        <v>1200</v>
      </c>
    </row>
    <row r="114" spans="2:11" x14ac:dyDescent="0.25">
      <c r="B114" s="8" t="s">
        <v>103</v>
      </c>
      <c r="C114" s="73">
        <v>100</v>
      </c>
      <c r="D114" s="9"/>
      <c r="E114" s="9"/>
      <c r="F114" s="9"/>
      <c r="G114" s="9">
        <f t="shared" si="15"/>
        <v>100</v>
      </c>
    </row>
    <row r="115" spans="2:11" x14ac:dyDescent="0.25">
      <c r="B115" s="8" t="s">
        <v>104</v>
      </c>
      <c r="C115" s="9">
        <v>500</v>
      </c>
      <c r="D115" s="102">
        <f>500+50</f>
        <v>550</v>
      </c>
      <c r="E115" s="9"/>
      <c r="F115" s="9"/>
      <c r="G115" s="9">
        <f t="shared" si="15"/>
        <v>1050</v>
      </c>
    </row>
    <row r="116" spans="2:11" x14ac:dyDescent="0.25">
      <c r="B116" s="8" t="s">
        <v>105</v>
      </c>
      <c r="C116" s="73">
        <v>200</v>
      </c>
      <c r="D116" s="9"/>
      <c r="E116" s="9"/>
      <c r="F116" s="9"/>
      <c r="G116" s="9">
        <f t="shared" si="15"/>
        <v>200</v>
      </c>
    </row>
    <row r="117" spans="2:11" x14ac:dyDescent="0.25">
      <c r="B117" s="8" t="s">
        <v>106</v>
      </c>
      <c r="C117" s="73">
        <v>1200</v>
      </c>
      <c r="D117" s="9"/>
      <c r="E117" s="9"/>
      <c r="F117" s="9"/>
      <c r="G117" s="9">
        <f t="shared" si="15"/>
        <v>1200</v>
      </c>
    </row>
    <row r="118" spans="2:11" x14ac:dyDescent="0.25">
      <c r="B118" s="8" t="s">
        <v>107</v>
      </c>
      <c r="C118" s="73">
        <v>4100</v>
      </c>
      <c r="D118" s="9"/>
      <c r="E118" s="9"/>
      <c r="F118" s="9"/>
      <c r="G118" s="9">
        <f t="shared" si="15"/>
        <v>4100</v>
      </c>
    </row>
    <row r="119" spans="2:11" x14ac:dyDescent="0.25">
      <c r="B119" s="23" t="s">
        <v>108</v>
      </c>
      <c r="C119" s="9">
        <f>1850+340+258+64+120-250-300-82+220</f>
        <v>2220</v>
      </c>
      <c r="D119" s="9"/>
      <c r="E119" s="9"/>
      <c r="F119" s="9"/>
      <c r="G119" s="9">
        <f t="shared" si="15"/>
        <v>2220</v>
      </c>
    </row>
    <row r="120" spans="2:11" x14ac:dyDescent="0.25">
      <c r="B120" s="8" t="s">
        <v>109</v>
      </c>
      <c r="C120" s="9">
        <v>900</v>
      </c>
      <c r="D120" s="9"/>
      <c r="E120" s="9"/>
      <c r="F120" s="9"/>
      <c r="G120" s="9">
        <f t="shared" si="15"/>
        <v>900</v>
      </c>
    </row>
    <row r="121" spans="2:11" x14ac:dyDescent="0.25">
      <c r="B121" s="8" t="s">
        <v>110</v>
      </c>
      <c r="C121" s="9"/>
      <c r="D121" s="9">
        <v>1200</v>
      </c>
      <c r="E121" s="9"/>
      <c r="F121" s="9"/>
      <c r="G121" s="9">
        <f t="shared" si="15"/>
        <v>1200</v>
      </c>
      <c r="K121" s="56"/>
    </row>
    <row r="122" spans="2:11" ht="15.75" thickBot="1" x14ac:dyDescent="0.3">
      <c r="B122" s="12" t="s">
        <v>111</v>
      </c>
      <c r="C122" s="36">
        <v>900</v>
      </c>
      <c r="D122" s="1"/>
      <c r="E122" s="1"/>
      <c r="F122" s="36"/>
      <c r="G122" s="9">
        <f t="shared" si="15"/>
        <v>900</v>
      </c>
    </row>
    <row r="123" spans="2:11" ht="15.75" thickBot="1" x14ac:dyDescent="0.3">
      <c r="B123" s="41" t="s">
        <v>112</v>
      </c>
      <c r="C123" s="45">
        <f>SUM(C124:C144)</f>
        <v>174113</v>
      </c>
      <c r="D123" s="45">
        <f t="shared" ref="D123" si="16">SUM(D124:D144)</f>
        <v>4470</v>
      </c>
      <c r="E123" s="45"/>
      <c r="F123" s="45"/>
      <c r="G123" s="45">
        <f>SUM(G124:G144)</f>
        <v>178583</v>
      </c>
      <c r="K123" s="56"/>
    </row>
    <row r="124" spans="2:11" x14ac:dyDescent="0.25">
      <c r="B124" s="6" t="s">
        <v>113</v>
      </c>
      <c r="C124" s="7">
        <v>5700</v>
      </c>
      <c r="D124" s="7">
        <v>150</v>
      </c>
      <c r="E124" s="7"/>
      <c r="F124" s="7"/>
      <c r="G124" s="9">
        <f>SUM(C124:F124)</f>
        <v>5850</v>
      </c>
    </row>
    <row r="125" spans="2:11" x14ac:dyDescent="0.25">
      <c r="B125" s="8" t="s">
        <v>114</v>
      </c>
      <c r="C125" s="73">
        <v>350</v>
      </c>
      <c r="D125" s="9"/>
      <c r="E125" s="9"/>
      <c r="F125" s="9"/>
      <c r="G125" s="9">
        <f t="shared" ref="G125:G144" si="17">SUM(C125:F125)</f>
        <v>350</v>
      </c>
    </row>
    <row r="126" spans="2:11" x14ac:dyDescent="0.25">
      <c r="B126" s="8" t="s">
        <v>162</v>
      </c>
      <c r="C126" s="73">
        <v>100</v>
      </c>
      <c r="D126" s="9"/>
      <c r="E126" s="9"/>
      <c r="F126" s="9"/>
      <c r="G126" s="9">
        <f t="shared" si="17"/>
        <v>100</v>
      </c>
    </row>
    <row r="127" spans="2:11" x14ac:dyDescent="0.25">
      <c r="B127" s="8" t="s">
        <v>115</v>
      </c>
      <c r="C127" s="73">
        <v>700</v>
      </c>
      <c r="D127" s="9"/>
      <c r="E127" s="9"/>
      <c r="F127" s="9"/>
      <c r="G127" s="9">
        <f t="shared" si="17"/>
        <v>700</v>
      </c>
    </row>
    <row r="128" spans="2:11" x14ac:dyDescent="0.25">
      <c r="B128" s="8" t="s">
        <v>116</v>
      </c>
      <c r="C128" s="9"/>
      <c r="D128" s="9">
        <v>20</v>
      </c>
      <c r="E128" s="9"/>
      <c r="F128" s="9"/>
      <c r="G128" s="9">
        <f t="shared" si="17"/>
        <v>20</v>
      </c>
    </row>
    <row r="129" spans="2:7" x14ac:dyDescent="0.25">
      <c r="B129" s="8" t="s">
        <v>117</v>
      </c>
      <c r="C129" s="9"/>
      <c r="D129" s="9">
        <v>200</v>
      </c>
      <c r="E129" s="9"/>
      <c r="F129" s="9"/>
      <c r="G129" s="9">
        <f t="shared" si="17"/>
        <v>200</v>
      </c>
    </row>
    <row r="130" spans="2:7" x14ac:dyDescent="0.25">
      <c r="B130" s="8" t="s">
        <v>118</v>
      </c>
      <c r="C130" s="9"/>
      <c r="D130" s="9">
        <v>500</v>
      </c>
      <c r="E130" s="9"/>
      <c r="F130" s="9"/>
      <c r="G130" s="9">
        <f t="shared" si="17"/>
        <v>500</v>
      </c>
    </row>
    <row r="131" spans="2:7" x14ac:dyDescent="0.25">
      <c r="B131" s="8" t="s">
        <v>119</v>
      </c>
      <c r="C131" s="73">
        <f>8500+1500+72</f>
        <v>10072</v>
      </c>
      <c r="D131" s="9"/>
      <c r="E131" s="9"/>
      <c r="F131" s="9"/>
      <c r="G131" s="9">
        <f t="shared" si="17"/>
        <v>10072</v>
      </c>
    </row>
    <row r="132" spans="2:7" x14ac:dyDescent="0.25">
      <c r="B132" s="8" t="s">
        <v>163</v>
      </c>
      <c r="C132" s="9">
        <v>900</v>
      </c>
      <c r="D132" s="9"/>
      <c r="E132" s="9"/>
      <c r="F132" s="9"/>
      <c r="G132" s="9">
        <f t="shared" si="17"/>
        <v>900</v>
      </c>
    </row>
    <row r="133" spans="2:7" x14ac:dyDescent="0.25">
      <c r="B133" s="8" t="s">
        <v>120</v>
      </c>
      <c r="C133" s="9">
        <v>1200</v>
      </c>
      <c r="D133" s="9"/>
      <c r="E133" s="9"/>
      <c r="F133" s="9"/>
      <c r="G133" s="9">
        <f t="shared" si="17"/>
        <v>1200</v>
      </c>
    </row>
    <row r="134" spans="2:7" x14ac:dyDescent="0.25">
      <c r="B134" s="23" t="s">
        <v>121</v>
      </c>
      <c r="C134" s="73">
        <f>21800+5000</f>
        <v>26800</v>
      </c>
      <c r="D134" s="9">
        <f>1000-200</f>
        <v>800</v>
      </c>
      <c r="E134" s="9"/>
      <c r="F134" s="9"/>
      <c r="G134" s="9">
        <f t="shared" si="17"/>
        <v>27600</v>
      </c>
    </row>
    <row r="135" spans="2:7" x14ac:dyDescent="0.25">
      <c r="B135" s="8" t="s">
        <v>122</v>
      </c>
      <c r="C135" s="66">
        <v>53648</v>
      </c>
      <c r="D135" s="9">
        <f>1000-200</f>
        <v>800</v>
      </c>
      <c r="E135" s="9"/>
      <c r="F135" s="66"/>
      <c r="G135" s="9">
        <f t="shared" si="17"/>
        <v>54448</v>
      </c>
    </row>
    <row r="136" spans="2:7" x14ac:dyDescent="0.25">
      <c r="B136" s="8" t="s">
        <v>158</v>
      </c>
      <c r="C136" s="66">
        <f>33077+3200+29000</f>
        <v>65277</v>
      </c>
      <c r="D136" s="9">
        <v>500</v>
      </c>
      <c r="E136" s="9"/>
      <c r="F136" s="9"/>
      <c r="G136" s="9">
        <f t="shared" si="17"/>
        <v>65777</v>
      </c>
    </row>
    <row r="137" spans="2:7" x14ac:dyDescent="0.25">
      <c r="B137" s="8" t="s">
        <v>123</v>
      </c>
      <c r="C137" s="90">
        <v>1200</v>
      </c>
      <c r="D137" s="103">
        <f>1000-500</f>
        <v>500</v>
      </c>
      <c r="E137" s="90"/>
      <c r="F137" s="13"/>
      <c r="G137" s="9">
        <f t="shared" si="17"/>
        <v>1700</v>
      </c>
    </row>
    <row r="138" spans="2:7" x14ac:dyDescent="0.25">
      <c r="B138" s="8" t="s">
        <v>124</v>
      </c>
      <c r="C138" s="9">
        <v>3100</v>
      </c>
      <c r="D138" s="9"/>
      <c r="E138" s="9"/>
      <c r="F138" s="9"/>
      <c r="G138" s="9">
        <f t="shared" si="17"/>
        <v>3100</v>
      </c>
    </row>
    <row r="139" spans="2:7" x14ac:dyDescent="0.25">
      <c r="B139" s="8" t="s">
        <v>125</v>
      </c>
      <c r="C139" s="9">
        <v>1800</v>
      </c>
      <c r="D139" s="9"/>
      <c r="E139" s="9"/>
      <c r="F139" s="9"/>
      <c r="G139" s="9">
        <f t="shared" si="17"/>
        <v>1800</v>
      </c>
    </row>
    <row r="140" spans="2:7" x14ac:dyDescent="0.25">
      <c r="B140" s="8" t="s">
        <v>164</v>
      </c>
      <c r="C140" s="9">
        <v>166</v>
      </c>
      <c r="D140" s="9"/>
      <c r="E140" s="9"/>
      <c r="F140" s="9"/>
      <c r="G140" s="9">
        <f t="shared" si="17"/>
        <v>166</v>
      </c>
    </row>
    <row r="141" spans="2:7" x14ac:dyDescent="0.25">
      <c r="B141" s="8" t="s">
        <v>126</v>
      </c>
      <c r="C141" s="9">
        <v>1200</v>
      </c>
      <c r="D141" s="9">
        <v>100</v>
      </c>
      <c r="E141" s="9"/>
      <c r="F141" s="9"/>
      <c r="G141" s="9">
        <f t="shared" si="17"/>
        <v>1300</v>
      </c>
    </row>
    <row r="142" spans="2:7" x14ac:dyDescent="0.25">
      <c r="B142" s="8" t="s">
        <v>127</v>
      </c>
      <c r="C142" s="9">
        <v>1600</v>
      </c>
      <c r="D142" s="9"/>
      <c r="E142" s="9"/>
      <c r="F142" s="9"/>
      <c r="G142" s="9">
        <f t="shared" si="17"/>
        <v>1600</v>
      </c>
    </row>
    <row r="143" spans="2:7" x14ac:dyDescent="0.25">
      <c r="B143" s="8" t="s">
        <v>128</v>
      </c>
      <c r="C143" s="66">
        <f>400-100</f>
        <v>300</v>
      </c>
      <c r="D143" s="9">
        <v>100</v>
      </c>
      <c r="E143" s="9"/>
      <c r="F143" s="9"/>
      <c r="G143" s="9">
        <f>SUM(C143:F143)</f>
        <v>400</v>
      </c>
    </row>
    <row r="144" spans="2:7" ht="15.75" thickBot="1" x14ac:dyDescent="0.3">
      <c r="B144" s="17" t="s">
        <v>129</v>
      </c>
      <c r="C144" s="1"/>
      <c r="D144" s="1">
        <f>600+200</f>
        <v>800</v>
      </c>
      <c r="E144" s="1"/>
      <c r="F144" s="1"/>
      <c r="G144" s="9">
        <f t="shared" si="17"/>
        <v>800</v>
      </c>
    </row>
    <row r="145" spans="2:7" ht="15.75" thickBot="1" x14ac:dyDescent="0.3">
      <c r="B145" s="46" t="s">
        <v>152</v>
      </c>
      <c r="C145" s="43"/>
      <c r="D145" s="85">
        <v>1985</v>
      </c>
      <c r="E145" s="99"/>
      <c r="F145" s="79"/>
      <c r="G145" s="72">
        <f>SUM(C145:F145)</f>
        <v>1985</v>
      </c>
    </row>
    <row r="146" spans="2:7" ht="15.75" thickBot="1" x14ac:dyDescent="0.3">
      <c r="B146" s="52" t="s">
        <v>130</v>
      </c>
      <c r="C146" s="49"/>
      <c r="D146" s="80">
        <f>1500+1500</f>
        <v>3000</v>
      </c>
      <c r="E146" s="100"/>
      <c r="F146" s="81"/>
      <c r="G146" s="72">
        <f t="shared" ref="G146" si="18">SUM(C146:F146)</f>
        <v>3000</v>
      </c>
    </row>
    <row r="147" spans="2:7" ht="15.75" thickBot="1" x14ac:dyDescent="0.3">
      <c r="B147" s="47" t="s">
        <v>151</v>
      </c>
      <c r="C147" s="65">
        <f>SUM(C148:C151)</f>
        <v>2000</v>
      </c>
      <c r="D147" s="83">
        <f t="shared" ref="D147" si="19">SUM(D148:D151)</f>
        <v>600</v>
      </c>
      <c r="E147" s="49"/>
      <c r="F147" s="84"/>
      <c r="G147" s="72">
        <f>SUM(G148:G151)</f>
        <v>2600</v>
      </c>
    </row>
    <row r="148" spans="2:7" x14ac:dyDescent="0.25">
      <c r="B148" s="6" t="s">
        <v>131</v>
      </c>
      <c r="C148" s="7">
        <v>1800</v>
      </c>
      <c r="D148" s="7"/>
      <c r="E148" s="7"/>
      <c r="F148" s="7"/>
      <c r="G148" s="9">
        <f>SUM(C148:D148)</f>
        <v>1800</v>
      </c>
    </row>
    <row r="149" spans="2:7" x14ac:dyDescent="0.25">
      <c r="B149" s="8" t="s">
        <v>132</v>
      </c>
      <c r="C149" s="9"/>
      <c r="D149" s="9">
        <v>100</v>
      </c>
      <c r="E149" s="9"/>
      <c r="F149" s="9"/>
      <c r="G149" s="9">
        <f>SUM(C149:D149)</f>
        <v>100</v>
      </c>
    </row>
    <row r="150" spans="2:7" x14ac:dyDescent="0.25">
      <c r="B150" s="12" t="s">
        <v>133</v>
      </c>
      <c r="C150" s="9">
        <v>200</v>
      </c>
      <c r="D150" s="9">
        <f>300+100</f>
        <v>400</v>
      </c>
      <c r="E150" s="9"/>
      <c r="F150" s="9"/>
      <c r="G150" s="9">
        <f t="shared" ref="G150:G151" si="20">SUM(C150:D150)</f>
        <v>600</v>
      </c>
    </row>
    <row r="151" spans="2:7" ht="15.75" thickBot="1" x14ac:dyDescent="0.3">
      <c r="B151" s="18" t="s">
        <v>134</v>
      </c>
      <c r="C151" s="1"/>
      <c r="D151" s="1">
        <v>100</v>
      </c>
      <c r="E151" s="1"/>
      <c r="F151" s="1"/>
      <c r="G151" s="9">
        <f t="shared" si="20"/>
        <v>100</v>
      </c>
    </row>
    <row r="152" spans="2:7" ht="15.75" thickBot="1" x14ac:dyDescent="0.3">
      <c r="B152" s="50" t="s">
        <v>150</v>
      </c>
      <c r="C152" s="42"/>
      <c r="D152" s="43">
        <f>1000-100</f>
        <v>900</v>
      </c>
      <c r="E152" s="43"/>
      <c r="F152" s="82"/>
      <c r="G152" s="44">
        <f>SUM(C152:D152)</f>
        <v>900</v>
      </c>
    </row>
    <row r="153" spans="2:7" ht="15.75" thickBot="1" x14ac:dyDescent="0.3">
      <c r="B153" s="41" t="s">
        <v>135</v>
      </c>
      <c r="C153" s="42"/>
      <c r="D153" s="43">
        <f>200+400+100</f>
        <v>700</v>
      </c>
      <c r="E153" s="43"/>
      <c r="F153" s="82"/>
      <c r="G153" s="44">
        <f>SUM(C153:D153)</f>
        <v>700</v>
      </c>
    </row>
    <row r="154" spans="2:7" ht="16.5" thickBot="1" x14ac:dyDescent="0.3">
      <c r="B154" s="29" t="s">
        <v>136</v>
      </c>
      <c r="C154" s="30">
        <f>SUM(C19,C20,C21,C28,C31,C56,C66,C91,C98,C123,C145,C146,C147,C152,C153,C22)</f>
        <v>2702384</v>
      </c>
      <c r="D154" s="30">
        <f>SUM(D19,D20,D21,D28,D31,D56,D66,D91,D98,D123,D145,D146,D147,D152,D153,D22)</f>
        <v>67865</v>
      </c>
      <c r="E154" s="30"/>
      <c r="F154" s="30">
        <f>SUM(F19,F20,F21,F28,F31,F56,F66,F91,F98,F123,F145,F146,F147,F152,F153,F22)</f>
        <v>288</v>
      </c>
      <c r="G154" s="30">
        <f>SUM(G19,G20,G21,G22,G28,G31,G56,G66,G91,G98,G123,G145,G146,G147,G152,G153)</f>
        <v>2770537</v>
      </c>
    </row>
    <row r="155" spans="2:7" x14ac:dyDescent="0.25">
      <c r="B155" s="19" t="s">
        <v>166</v>
      </c>
      <c r="C155" s="20"/>
      <c r="D155" s="9"/>
      <c r="E155" s="64"/>
      <c r="F155" s="77"/>
      <c r="G155" s="2">
        <f>SUM(C155:F155)</f>
        <v>0</v>
      </c>
    </row>
    <row r="156" spans="2:7" x14ac:dyDescent="0.25">
      <c r="B156" s="19" t="s">
        <v>137</v>
      </c>
      <c r="C156" s="20"/>
      <c r="D156" s="9"/>
      <c r="E156" s="64"/>
      <c r="F156" s="77">
        <v>2797</v>
      </c>
      <c r="G156" s="2">
        <f t="shared" ref="G156:G169" si="21">SUM(C156:F156)</f>
        <v>2797</v>
      </c>
    </row>
    <row r="157" spans="2:7" x14ac:dyDescent="0.25">
      <c r="B157" s="19" t="s">
        <v>156</v>
      </c>
      <c r="C157" s="20"/>
      <c r="D157" s="9"/>
      <c r="E157" s="64"/>
      <c r="F157" s="77"/>
      <c r="G157" s="2">
        <f t="shared" si="21"/>
        <v>0</v>
      </c>
    </row>
    <row r="158" spans="2:7" x14ac:dyDescent="0.25">
      <c r="B158" s="21" t="s">
        <v>138</v>
      </c>
      <c r="C158" s="20"/>
      <c r="D158" s="9"/>
      <c r="E158" s="64"/>
      <c r="F158" s="77"/>
      <c r="G158" s="2">
        <f t="shared" si="21"/>
        <v>0</v>
      </c>
    </row>
    <row r="159" spans="2:7" x14ac:dyDescent="0.25">
      <c r="B159" s="21" t="s">
        <v>175</v>
      </c>
      <c r="C159" s="20"/>
      <c r="D159" s="9"/>
      <c r="E159" s="64"/>
      <c r="F159" s="77"/>
      <c r="G159" s="2">
        <f t="shared" si="21"/>
        <v>0</v>
      </c>
    </row>
    <row r="160" spans="2:7" x14ac:dyDescent="0.25">
      <c r="B160" s="21" t="s">
        <v>139</v>
      </c>
      <c r="C160" s="20"/>
      <c r="D160" s="9"/>
      <c r="E160" s="64"/>
      <c r="F160" s="77"/>
      <c r="G160" s="2">
        <f t="shared" si="21"/>
        <v>0</v>
      </c>
    </row>
    <row r="161" spans="1:11" x14ac:dyDescent="0.25">
      <c r="B161" s="21" t="s">
        <v>140</v>
      </c>
      <c r="C161" s="20"/>
      <c r="D161" s="102">
        <f>200-100-50</f>
        <v>50</v>
      </c>
      <c r="E161" s="64"/>
      <c r="F161" s="77"/>
      <c r="G161" s="2">
        <f t="shared" si="21"/>
        <v>50</v>
      </c>
    </row>
    <row r="162" spans="1:11" x14ac:dyDescent="0.25">
      <c r="B162" s="19" t="s">
        <v>141</v>
      </c>
      <c r="C162" s="20"/>
      <c r="D162" s="102">
        <f>600-200</f>
        <v>400</v>
      </c>
      <c r="E162" s="64"/>
      <c r="F162" s="77"/>
      <c r="G162" s="2">
        <f t="shared" si="21"/>
        <v>400</v>
      </c>
    </row>
    <row r="163" spans="1:11" x14ac:dyDescent="0.25">
      <c r="B163" s="21" t="s">
        <v>142</v>
      </c>
      <c r="C163" s="20"/>
      <c r="D163" s="102">
        <f>400+200+150+100+200+20+100+50</f>
        <v>1220</v>
      </c>
      <c r="E163" s="106">
        <v>729</v>
      </c>
      <c r="F163" s="77"/>
      <c r="G163" s="2">
        <f t="shared" si="21"/>
        <v>1949</v>
      </c>
      <c r="J163" s="56"/>
    </row>
    <row r="164" spans="1:11" x14ac:dyDescent="0.25">
      <c r="B164" s="21" t="s">
        <v>176</v>
      </c>
      <c r="C164" s="20"/>
      <c r="D164" s="102">
        <v>15</v>
      </c>
      <c r="E164" s="64"/>
      <c r="F164" s="77"/>
      <c r="G164" s="2">
        <f t="shared" si="21"/>
        <v>15</v>
      </c>
    </row>
    <row r="165" spans="1:11" x14ac:dyDescent="0.25">
      <c r="B165" s="19" t="s">
        <v>143</v>
      </c>
      <c r="C165" s="20"/>
      <c r="D165" s="102">
        <f>300-150</f>
        <v>150</v>
      </c>
      <c r="E165" s="64"/>
      <c r="F165" s="77"/>
      <c r="G165" s="2">
        <f t="shared" si="21"/>
        <v>150</v>
      </c>
    </row>
    <row r="166" spans="1:11" x14ac:dyDescent="0.25">
      <c r="B166" s="22" t="s">
        <v>144</v>
      </c>
      <c r="C166" s="20"/>
      <c r="D166" s="102">
        <v>0</v>
      </c>
      <c r="E166" s="64"/>
      <c r="F166" s="77"/>
      <c r="G166" s="2">
        <f t="shared" si="21"/>
        <v>0</v>
      </c>
    </row>
    <row r="167" spans="1:11" x14ac:dyDescent="0.25">
      <c r="B167" s="19" t="s">
        <v>145</v>
      </c>
      <c r="C167" s="20"/>
      <c r="D167" s="102">
        <v>0</v>
      </c>
      <c r="E167" s="64"/>
      <c r="F167" s="77"/>
      <c r="G167" s="2">
        <f t="shared" si="21"/>
        <v>0</v>
      </c>
    </row>
    <row r="168" spans="1:11" x14ac:dyDescent="0.25">
      <c r="B168" s="19" t="s">
        <v>168</v>
      </c>
      <c r="C168" s="20"/>
      <c r="D168" s="102">
        <f>200-100</f>
        <v>100</v>
      </c>
      <c r="E168" s="64"/>
      <c r="F168" s="77"/>
      <c r="G168" s="2">
        <f t="shared" si="21"/>
        <v>100</v>
      </c>
    </row>
    <row r="169" spans="1:11" ht="15.75" thickBot="1" x14ac:dyDescent="0.3">
      <c r="B169" s="19" t="s">
        <v>146</v>
      </c>
      <c r="C169" s="20"/>
      <c r="D169" s="9">
        <v>50</v>
      </c>
      <c r="E169" s="64"/>
      <c r="F169" s="77"/>
      <c r="G169" s="2">
        <f t="shared" si="21"/>
        <v>50</v>
      </c>
    </row>
    <row r="170" spans="1:11" ht="13.5" customHeight="1" thickBot="1" x14ac:dyDescent="0.3">
      <c r="B170" s="29" t="s">
        <v>147</v>
      </c>
      <c r="C170" s="30">
        <f t="shared" ref="C170:G170" si="22">SUM(C155:C169)</f>
        <v>0</v>
      </c>
      <c r="D170" s="30">
        <f t="shared" si="22"/>
        <v>1985</v>
      </c>
      <c r="E170" s="30">
        <f t="shared" si="22"/>
        <v>729</v>
      </c>
      <c r="F170" s="30">
        <f t="shared" si="22"/>
        <v>2797</v>
      </c>
      <c r="G170" s="30">
        <f t="shared" si="22"/>
        <v>5511</v>
      </c>
    </row>
    <row r="171" spans="1:11" ht="16.5" customHeight="1" thickBot="1" x14ac:dyDescent="0.3">
      <c r="B171" s="34" t="s">
        <v>148</v>
      </c>
      <c r="C171" s="35">
        <f t="shared" ref="C171:F171" si="23">C154+C170</f>
        <v>2702384</v>
      </c>
      <c r="D171" s="35">
        <f t="shared" si="23"/>
        <v>69850</v>
      </c>
      <c r="E171" s="35">
        <f t="shared" si="23"/>
        <v>729</v>
      </c>
      <c r="F171" s="35">
        <f t="shared" si="23"/>
        <v>3085</v>
      </c>
      <c r="G171" s="35">
        <f>G154+G170</f>
        <v>2776048</v>
      </c>
      <c r="K171" s="56"/>
    </row>
    <row r="172" spans="1:11" ht="86.25" customHeight="1" x14ac:dyDescent="0.25">
      <c r="A172" s="89"/>
      <c r="B172" s="146" t="s">
        <v>192</v>
      </c>
      <c r="C172" s="146"/>
      <c r="D172" s="146"/>
      <c r="E172" s="146"/>
      <c r="F172" s="146"/>
      <c r="G172" s="146"/>
    </row>
    <row r="173" spans="1:11" ht="21" customHeight="1" x14ac:dyDescent="0.25">
      <c r="D173" s="147" t="s">
        <v>179</v>
      </c>
      <c r="E173" s="147"/>
      <c r="F173" s="147"/>
      <c r="G173" s="147"/>
    </row>
    <row r="174" spans="1:11" ht="1.5" customHeight="1" x14ac:dyDescent="0.25">
      <c r="D174" s="147" t="s">
        <v>180</v>
      </c>
      <c r="E174" s="147"/>
      <c r="F174" s="147"/>
      <c r="G174" s="147"/>
    </row>
    <row r="175" spans="1:11" hidden="1" x14ac:dyDescent="0.25">
      <c r="C175" s="56"/>
      <c r="D175" s="147"/>
      <c r="E175" s="147"/>
      <c r="F175" s="147"/>
      <c r="G175" s="147"/>
    </row>
  </sheetData>
  <mergeCells count="5">
    <mergeCell ref="B2:G2"/>
    <mergeCell ref="B3:G3"/>
    <mergeCell ref="B172:G172"/>
    <mergeCell ref="D173:G173"/>
    <mergeCell ref="D174:G175"/>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4"/>
  <sheetViews>
    <sheetView topLeftCell="A154" zoomScale="110" zoomScaleNormal="110" workbookViewId="0">
      <selection activeCell="C164" sqref="C164"/>
    </sheetView>
  </sheetViews>
  <sheetFormatPr defaultRowHeight="15" x14ac:dyDescent="0.25"/>
  <cols>
    <col min="1" max="1" width="54.7109375" customWidth="1"/>
    <col min="2" max="2" width="13.5703125" customWidth="1"/>
    <col min="3" max="3" width="12.7109375" customWidth="1"/>
  </cols>
  <sheetData>
    <row r="2" spans="1:3" x14ac:dyDescent="0.25">
      <c r="A2" s="148" t="s">
        <v>0</v>
      </c>
      <c r="B2" s="148"/>
      <c r="C2" s="148"/>
    </row>
    <row r="3" spans="1:3" x14ac:dyDescent="0.25">
      <c r="A3" s="149" t="s">
        <v>189</v>
      </c>
      <c r="B3" s="149"/>
      <c r="C3" s="149"/>
    </row>
    <row r="4" spans="1:3" ht="15.75" thickBot="1" x14ac:dyDescent="0.3">
      <c r="A4" s="59"/>
      <c r="B4" s="5" t="s">
        <v>1</v>
      </c>
      <c r="C4" s="94"/>
    </row>
    <row r="5" spans="1:3" ht="43.5" thickBot="1" x14ac:dyDescent="0.3">
      <c r="A5" s="24" t="s">
        <v>2</v>
      </c>
      <c r="B5" s="25" t="s">
        <v>5</v>
      </c>
      <c r="C5" s="57" t="s">
        <v>154</v>
      </c>
    </row>
    <row r="6" spans="1:3" ht="15.75" x14ac:dyDescent="0.25">
      <c r="A6" s="26" t="s">
        <v>6</v>
      </c>
      <c r="B6" s="28"/>
      <c r="C6" s="28"/>
    </row>
    <row r="7" spans="1:3" x14ac:dyDescent="0.25">
      <c r="A7" s="6" t="s">
        <v>9</v>
      </c>
      <c r="B7" s="2">
        <v>2666543</v>
      </c>
      <c r="C7" s="67" t="s">
        <v>7</v>
      </c>
    </row>
    <row r="8" spans="1:3" x14ac:dyDescent="0.25">
      <c r="A8" s="8" t="s">
        <v>10</v>
      </c>
      <c r="B8" s="2">
        <v>30703</v>
      </c>
      <c r="C8" s="67" t="s">
        <v>7</v>
      </c>
    </row>
    <row r="9" spans="1:3" x14ac:dyDescent="0.25">
      <c r="A9" s="8" t="s">
        <v>11</v>
      </c>
      <c r="B9" s="2">
        <v>56200</v>
      </c>
      <c r="C9" s="67" t="s">
        <v>8</v>
      </c>
    </row>
    <row r="10" spans="1:3" x14ac:dyDescent="0.25">
      <c r="A10" s="8" t="s">
        <v>169</v>
      </c>
      <c r="B10" s="2">
        <v>10277</v>
      </c>
      <c r="C10" s="67" t="s">
        <v>155</v>
      </c>
    </row>
    <row r="11" spans="1:3" x14ac:dyDescent="0.25">
      <c r="A11" s="8" t="s">
        <v>171</v>
      </c>
      <c r="B11" s="2">
        <v>729</v>
      </c>
      <c r="C11" s="67" t="s">
        <v>190</v>
      </c>
    </row>
    <row r="12" spans="1:3" x14ac:dyDescent="0.25">
      <c r="A12" s="8" t="s">
        <v>12</v>
      </c>
      <c r="B12" s="2">
        <v>0</v>
      </c>
      <c r="C12" s="67"/>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2775798</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2275394</v>
      </c>
      <c r="C19" s="63" t="s">
        <v>188</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5">
        <v>44724</v>
      </c>
      <c r="C22" s="69" t="s">
        <v>155</v>
      </c>
    </row>
    <row r="23" spans="1:3" x14ac:dyDescent="0.25">
      <c r="A23" s="6" t="s">
        <v>20</v>
      </c>
      <c r="B23" s="7">
        <v>600</v>
      </c>
      <c r="C23" s="60" t="s">
        <v>8</v>
      </c>
    </row>
    <row r="24" spans="1:3" x14ac:dyDescent="0.25">
      <c r="A24" s="8" t="s">
        <v>185</v>
      </c>
      <c r="B24" s="7">
        <v>17750</v>
      </c>
      <c r="C24" s="69" t="s">
        <v>155</v>
      </c>
    </row>
    <row r="25" spans="1:3" x14ac:dyDescent="0.25">
      <c r="A25" s="8" t="s">
        <v>22</v>
      </c>
      <c r="B25" s="7">
        <v>600</v>
      </c>
      <c r="C25" s="60" t="s">
        <v>155</v>
      </c>
    </row>
    <row r="26" spans="1:3" x14ac:dyDescent="0.25">
      <c r="A26" s="12" t="s">
        <v>23</v>
      </c>
      <c r="B26" s="7">
        <v>1500</v>
      </c>
      <c r="C26" s="60" t="s">
        <v>155</v>
      </c>
    </row>
    <row r="27" spans="1:3" ht="15.75" thickBot="1" x14ac:dyDescent="0.3">
      <c r="A27" s="8" t="s">
        <v>167</v>
      </c>
      <c r="B27" s="7">
        <v>24274</v>
      </c>
      <c r="C27" s="60" t="s">
        <v>155</v>
      </c>
    </row>
    <row r="28" spans="1:3" ht="15.75" thickBot="1" x14ac:dyDescent="0.3">
      <c r="A28" s="41" t="s">
        <v>24</v>
      </c>
      <c r="B28" s="45">
        <v>30010</v>
      </c>
      <c r="C28" s="60"/>
    </row>
    <row r="29" spans="1:3" x14ac:dyDescent="0.25">
      <c r="A29" s="10" t="s">
        <v>25</v>
      </c>
      <c r="B29" s="88">
        <v>29700</v>
      </c>
      <c r="C29" s="60" t="s">
        <v>155</v>
      </c>
    </row>
    <row r="30" spans="1:3" x14ac:dyDescent="0.25">
      <c r="A30" s="53" t="s">
        <v>178</v>
      </c>
      <c r="B30" s="9">
        <v>310</v>
      </c>
      <c r="C30" s="70" t="s">
        <v>8</v>
      </c>
    </row>
    <row r="31" spans="1:3" ht="15.75" thickBot="1" x14ac:dyDescent="0.3">
      <c r="A31" s="48" t="s">
        <v>26</v>
      </c>
      <c r="B31" s="86">
        <v>105652</v>
      </c>
      <c r="C31" s="70"/>
    </row>
    <row r="32" spans="1:3" x14ac:dyDescent="0.25">
      <c r="A32" s="71" t="s">
        <v>27</v>
      </c>
      <c r="B32" s="9">
        <v>2300</v>
      </c>
      <c r="C32" s="60" t="s">
        <v>155</v>
      </c>
    </row>
    <row r="33" spans="1:3" x14ac:dyDescent="0.25">
      <c r="A33" s="53" t="s">
        <v>28</v>
      </c>
      <c r="B33" s="9">
        <v>27892</v>
      </c>
      <c r="C33" s="60" t="s">
        <v>155</v>
      </c>
    </row>
    <row r="34" spans="1:3" x14ac:dyDescent="0.25">
      <c r="A34" s="53" t="s">
        <v>29</v>
      </c>
      <c r="B34" s="9">
        <v>12600</v>
      </c>
      <c r="C34" s="60" t="s">
        <v>155</v>
      </c>
    </row>
    <row r="35" spans="1:3" x14ac:dyDescent="0.25">
      <c r="A35" s="53" t="s">
        <v>30</v>
      </c>
      <c r="B35" s="9">
        <v>100</v>
      </c>
      <c r="C35" s="68"/>
    </row>
    <row r="36" spans="1:3" x14ac:dyDescent="0.25">
      <c r="A36" s="53" t="s">
        <v>31</v>
      </c>
      <c r="B36" s="9">
        <v>23500</v>
      </c>
      <c r="C36" s="69" t="s">
        <v>155</v>
      </c>
    </row>
    <row r="37" spans="1:3" x14ac:dyDescent="0.25">
      <c r="A37" s="53" t="s">
        <v>32</v>
      </c>
      <c r="B37" s="9">
        <v>6540</v>
      </c>
      <c r="C37" s="60" t="s">
        <v>7</v>
      </c>
    </row>
    <row r="38" spans="1:3" x14ac:dyDescent="0.25">
      <c r="A38" s="53" t="s">
        <v>33</v>
      </c>
      <c r="B38" s="9">
        <v>500</v>
      </c>
      <c r="C38" s="60" t="s">
        <v>7</v>
      </c>
    </row>
    <row r="39" spans="1:3" x14ac:dyDescent="0.25">
      <c r="A39" s="53" t="s">
        <v>34</v>
      </c>
      <c r="B39" s="9">
        <v>550</v>
      </c>
      <c r="C39" s="60" t="s">
        <v>7</v>
      </c>
    </row>
    <row r="40" spans="1:3" x14ac:dyDescent="0.25">
      <c r="A40" s="53" t="s">
        <v>35</v>
      </c>
      <c r="B40" s="9">
        <v>6000</v>
      </c>
      <c r="C40" s="60" t="s">
        <v>7</v>
      </c>
    </row>
    <row r="41" spans="1:3" x14ac:dyDescent="0.25">
      <c r="A41" s="53" t="s">
        <v>36</v>
      </c>
      <c r="B41" s="9">
        <v>7200</v>
      </c>
      <c r="C41" s="60" t="s">
        <v>155</v>
      </c>
    </row>
    <row r="42" spans="1:3" x14ac:dyDescent="0.25">
      <c r="A42" s="53" t="s">
        <v>37</v>
      </c>
      <c r="B42" s="9">
        <v>6600</v>
      </c>
      <c r="C42" s="60" t="s">
        <v>7</v>
      </c>
    </row>
    <row r="43" spans="1:3" x14ac:dyDescent="0.25">
      <c r="A43" s="53" t="s">
        <v>38</v>
      </c>
      <c r="B43" s="9">
        <v>2700</v>
      </c>
      <c r="C43" s="60" t="s">
        <v>7</v>
      </c>
    </row>
    <row r="44" spans="1:3" x14ac:dyDescent="0.25">
      <c r="A44" s="53" t="s">
        <v>39</v>
      </c>
      <c r="B44" s="9">
        <v>1500</v>
      </c>
      <c r="C44" s="60" t="s">
        <v>7</v>
      </c>
    </row>
    <row r="45" spans="1:3" x14ac:dyDescent="0.25">
      <c r="A45" s="53" t="s">
        <v>40</v>
      </c>
      <c r="B45" s="9">
        <v>0</v>
      </c>
      <c r="C45" s="60"/>
    </row>
    <row r="46" spans="1:3" x14ac:dyDescent="0.25">
      <c r="A46" s="53" t="s">
        <v>41</v>
      </c>
      <c r="B46" s="9">
        <v>650</v>
      </c>
      <c r="C46" s="60" t="s">
        <v>155</v>
      </c>
    </row>
    <row r="47" spans="1:3" x14ac:dyDescent="0.25">
      <c r="A47" s="53" t="s">
        <v>42</v>
      </c>
      <c r="B47" s="9">
        <v>350</v>
      </c>
      <c r="C47" s="60" t="s">
        <v>7</v>
      </c>
    </row>
    <row r="48" spans="1:3" x14ac:dyDescent="0.25">
      <c r="A48" s="53" t="s">
        <v>43</v>
      </c>
      <c r="B48" s="9">
        <v>550</v>
      </c>
      <c r="C48" s="60" t="s">
        <v>7</v>
      </c>
    </row>
    <row r="49" spans="1:3" x14ac:dyDescent="0.25">
      <c r="A49" s="53" t="s">
        <v>44</v>
      </c>
      <c r="B49" s="9">
        <v>3800</v>
      </c>
      <c r="C49" s="60" t="s">
        <v>7</v>
      </c>
    </row>
    <row r="50" spans="1:3" x14ac:dyDescent="0.25">
      <c r="A50" s="53" t="s">
        <v>45</v>
      </c>
      <c r="B50" s="9">
        <v>1200</v>
      </c>
      <c r="C50" s="60" t="s">
        <v>7</v>
      </c>
    </row>
    <row r="51" spans="1:3" x14ac:dyDescent="0.25">
      <c r="A51" s="53" t="s">
        <v>46</v>
      </c>
      <c r="B51" s="9">
        <v>280</v>
      </c>
      <c r="C51" s="60" t="s">
        <v>8</v>
      </c>
    </row>
    <row r="52" spans="1:3" x14ac:dyDescent="0.25">
      <c r="A52" s="53" t="s">
        <v>153</v>
      </c>
      <c r="B52" s="9">
        <v>140</v>
      </c>
      <c r="C52" s="60" t="s">
        <v>8</v>
      </c>
    </row>
    <row r="53" spans="1:3" x14ac:dyDescent="0.25">
      <c r="A53" s="53" t="s">
        <v>47</v>
      </c>
      <c r="B53" s="9">
        <v>0</v>
      </c>
      <c r="C53" s="60"/>
    </row>
    <row r="54" spans="1:3" x14ac:dyDescent="0.25">
      <c r="A54" s="54" t="s">
        <v>48</v>
      </c>
      <c r="B54" s="9">
        <v>230</v>
      </c>
      <c r="C54" s="60" t="s">
        <v>8</v>
      </c>
    </row>
    <row r="55" spans="1:3" ht="15.75" thickBot="1" x14ac:dyDescent="0.3">
      <c r="A55" s="17" t="s">
        <v>49</v>
      </c>
      <c r="B55" s="9">
        <v>470</v>
      </c>
      <c r="C55" s="60" t="s">
        <v>8</v>
      </c>
    </row>
    <row r="56" spans="1:3" ht="15.75" thickBot="1" x14ac:dyDescent="0.3">
      <c r="A56" s="46" t="s">
        <v>50</v>
      </c>
      <c r="B56" s="44">
        <v>1276</v>
      </c>
      <c r="C56" s="70"/>
    </row>
    <row r="57" spans="1:3" x14ac:dyDescent="0.25">
      <c r="A57" s="4" t="s">
        <v>51</v>
      </c>
      <c r="B57" s="7">
        <v>0</v>
      </c>
      <c r="C57" s="60"/>
    </row>
    <row r="58" spans="1:3" x14ac:dyDescent="0.25">
      <c r="A58" s="8" t="s">
        <v>52</v>
      </c>
      <c r="B58" s="7">
        <v>150</v>
      </c>
      <c r="C58" s="60" t="s">
        <v>8</v>
      </c>
    </row>
    <row r="59" spans="1:3" x14ac:dyDescent="0.25">
      <c r="A59" s="8" t="s">
        <v>53</v>
      </c>
      <c r="B59" s="7">
        <v>250</v>
      </c>
      <c r="C59" s="60" t="s">
        <v>8</v>
      </c>
    </row>
    <row r="60" spans="1:3" x14ac:dyDescent="0.25">
      <c r="A60" s="8" t="s">
        <v>54</v>
      </c>
      <c r="B60" s="7">
        <v>100</v>
      </c>
      <c r="C60" s="60" t="s">
        <v>8</v>
      </c>
    </row>
    <row r="61" spans="1:3" x14ac:dyDescent="0.25">
      <c r="A61" s="8" t="s">
        <v>55</v>
      </c>
      <c r="B61" s="7">
        <v>150</v>
      </c>
      <c r="C61" s="60"/>
    </row>
    <row r="62" spans="1:3" x14ac:dyDescent="0.25">
      <c r="A62" s="8" t="s">
        <v>56</v>
      </c>
      <c r="B62" s="7">
        <v>150</v>
      </c>
      <c r="C62" s="60" t="s">
        <v>8</v>
      </c>
    </row>
    <row r="63" spans="1:3" x14ac:dyDescent="0.25">
      <c r="A63" s="8" t="s">
        <v>57</v>
      </c>
      <c r="B63" s="7">
        <v>150</v>
      </c>
      <c r="C63" s="60" t="s">
        <v>8</v>
      </c>
    </row>
    <row r="64" spans="1:3" x14ac:dyDescent="0.25">
      <c r="A64" s="8" t="s">
        <v>58</v>
      </c>
      <c r="B64" s="7">
        <v>50</v>
      </c>
      <c r="C64" s="60" t="s">
        <v>8</v>
      </c>
    </row>
    <row r="65" spans="1:3" ht="15.75" thickBot="1" x14ac:dyDescent="0.3">
      <c r="A65" s="12" t="s">
        <v>59</v>
      </c>
      <c r="B65" s="7">
        <v>276</v>
      </c>
      <c r="C65" s="60" t="s">
        <v>8</v>
      </c>
    </row>
    <row r="66" spans="1:3" ht="15.75" thickBot="1" x14ac:dyDescent="0.3">
      <c r="A66" s="41" t="s">
        <v>60</v>
      </c>
      <c r="B66" s="44">
        <v>30994</v>
      </c>
      <c r="C66" s="60"/>
    </row>
    <row r="67" spans="1:3" x14ac:dyDescent="0.25">
      <c r="A67" s="14" t="s">
        <v>165</v>
      </c>
      <c r="B67" s="2">
        <v>300</v>
      </c>
      <c r="C67" s="60" t="s">
        <v>8</v>
      </c>
    </row>
    <row r="68" spans="1:3" x14ac:dyDescent="0.25">
      <c r="A68" s="14" t="s">
        <v>61</v>
      </c>
      <c r="B68" s="2">
        <v>600</v>
      </c>
      <c r="C68" s="60" t="s">
        <v>8</v>
      </c>
    </row>
    <row r="69" spans="1:3" x14ac:dyDescent="0.25">
      <c r="A69" s="8" t="s">
        <v>62</v>
      </c>
      <c r="B69" s="2">
        <v>480</v>
      </c>
      <c r="C69" s="60" t="s">
        <v>8</v>
      </c>
    </row>
    <row r="70" spans="1:3" x14ac:dyDescent="0.25">
      <c r="A70" s="8" t="s">
        <v>63</v>
      </c>
      <c r="B70" s="2">
        <v>3500</v>
      </c>
      <c r="C70" s="60" t="s">
        <v>7</v>
      </c>
    </row>
    <row r="71" spans="1:3" x14ac:dyDescent="0.25">
      <c r="A71" s="8" t="s">
        <v>64</v>
      </c>
      <c r="B71" s="2">
        <v>7500</v>
      </c>
      <c r="C71" s="60" t="s">
        <v>7</v>
      </c>
    </row>
    <row r="72" spans="1:3" x14ac:dyDescent="0.25">
      <c r="A72" s="8" t="s">
        <v>65</v>
      </c>
      <c r="B72" s="2">
        <v>450</v>
      </c>
      <c r="C72" s="60" t="s">
        <v>8</v>
      </c>
    </row>
    <row r="73" spans="1:3" x14ac:dyDescent="0.25">
      <c r="A73" s="8" t="s">
        <v>66</v>
      </c>
      <c r="B73" s="2">
        <v>6050</v>
      </c>
      <c r="C73" s="60" t="s">
        <v>8</v>
      </c>
    </row>
    <row r="74" spans="1:3" x14ac:dyDescent="0.25">
      <c r="A74" s="8" t="s">
        <v>67</v>
      </c>
      <c r="B74" s="2">
        <v>200</v>
      </c>
      <c r="C74" s="60" t="s">
        <v>8</v>
      </c>
    </row>
    <row r="75" spans="1:3" x14ac:dyDescent="0.25">
      <c r="A75" s="8" t="s">
        <v>68</v>
      </c>
      <c r="B75" s="2">
        <v>0</v>
      </c>
      <c r="C75" s="60" t="s">
        <v>8</v>
      </c>
    </row>
    <row r="76" spans="1:3" x14ac:dyDescent="0.25">
      <c r="A76" s="8" t="s">
        <v>69</v>
      </c>
      <c r="B76" s="2">
        <v>100</v>
      </c>
      <c r="C76" s="60" t="s">
        <v>8</v>
      </c>
    </row>
    <row r="77" spans="1:3" x14ac:dyDescent="0.25">
      <c r="A77" s="8" t="s">
        <v>70</v>
      </c>
      <c r="B77" s="2">
        <v>200</v>
      </c>
      <c r="C77" s="60" t="s">
        <v>8</v>
      </c>
    </row>
    <row r="78" spans="1:3" x14ac:dyDescent="0.25">
      <c r="A78" s="8" t="s">
        <v>71</v>
      </c>
      <c r="B78" s="2">
        <v>100</v>
      </c>
      <c r="C78" s="60" t="s">
        <v>8</v>
      </c>
    </row>
    <row r="79" spans="1:3" x14ac:dyDescent="0.25">
      <c r="A79" s="8" t="s">
        <v>72</v>
      </c>
      <c r="B79" s="2">
        <v>150</v>
      </c>
      <c r="C79" s="60" t="s">
        <v>7</v>
      </c>
    </row>
    <row r="80" spans="1:3" x14ac:dyDescent="0.25">
      <c r="A80" s="8" t="s">
        <v>73</v>
      </c>
      <c r="B80" s="2">
        <v>600</v>
      </c>
      <c r="C80" s="60" t="s">
        <v>8</v>
      </c>
    </row>
    <row r="81" spans="1:3" x14ac:dyDescent="0.25">
      <c r="A81" s="8" t="s">
        <v>74</v>
      </c>
      <c r="B81" s="2">
        <v>400</v>
      </c>
      <c r="C81" s="60" t="s">
        <v>8</v>
      </c>
    </row>
    <row r="82" spans="1:3" x14ac:dyDescent="0.25">
      <c r="A82" s="8" t="s">
        <v>75</v>
      </c>
      <c r="B82" s="2">
        <v>50</v>
      </c>
      <c r="C82" s="60" t="s">
        <v>8</v>
      </c>
    </row>
    <row r="83" spans="1:3" x14ac:dyDescent="0.25">
      <c r="A83" s="8" t="s">
        <v>76</v>
      </c>
      <c r="B83" s="2">
        <v>1000</v>
      </c>
      <c r="C83" s="60" t="s">
        <v>8</v>
      </c>
    </row>
    <row r="84" spans="1:3" x14ac:dyDescent="0.25">
      <c r="A84" s="15" t="s">
        <v>77</v>
      </c>
      <c r="B84" s="2">
        <v>100</v>
      </c>
      <c r="C84" s="60" t="s">
        <v>8</v>
      </c>
    </row>
    <row r="85" spans="1:3" x14ac:dyDescent="0.25">
      <c r="A85" s="6" t="s">
        <v>78</v>
      </c>
      <c r="B85" s="2">
        <v>1500</v>
      </c>
      <c r="C85" s="60" t="s">
        <v>8</v>
      </c>
    </row>
    <row r="86" spans="1:3" x14ac:dyDescent="0.25">
      <c r="A86" s="8" t="s">
        <v>79</v>
      </c>
      <c r="B86" s="2">
        <v>350</v>
      </c>
      <c r="C86" s="60" t="s">
        <v>8</v>
      </c>
    </row>
    <row r="87" spans="1:3" x14ac:dyDescent="0.25">
      <c r="A87" s="8" t="s">
        <v>80</v>
      </c>
      <c r="B87" s="2">
        <v>5200</v>
      </c>
      <c r="C87" s="60" t="s">
        <v>7</v>
      </c>
    </row>
    <row r="88" spans="1:3" x14ac:dyDescent="0.25">
      <c r="A88" s="8" t="s">
        <v>81</v>
      </c>
      <c r="B88" s="2">
        <v>444</v>
      </c>
      <c r="C88" s="60" t="s">
        <v>8</v>
      </c>
    </row>
    <row r="89" spans="1:3" x14ac:dyDescent="0.25">
      <c r="A89" s="8" t="s">
        <v>82</v>
      </c>
      <c r="B89" s="2">
        <v>100</v>
      </c>
      <c r="C89" s="60" t="s">
        <v>8</v>
      </c>
    </row>
    <row r="90" spans="1:3" ht="15.75" thickBot="1" x14ac:dyDescent="0.3">
      <c r="A90" s="12" t="s">
        <v>83</v>
      </c>
      <c r="B90" s="2">
        <v>1620</v>
      </c>
      <c r="C90" s="60" t="s">
        <v>8</v>
      </c>
    </row>
    <row r="91" spans="1:3" ht="15.75" thickBot="1" x14ac:dyDescent="0.3">
      <c r="A91" s="41" t="s">
        <v>84</v>
      </c>
      <c r="B91" s="45">
        <v>9550</v>
      </c>
      <c r="C91" s="60"/>
    </row>
    <row r="92" spans="1:3" x14ac:dyDescent="0.25">
      <c r="A92" s="6" t="s">
        <v>85</v>
      </c>
      <c r="B92" s="78">
        <v>100</v>
      </c>
      <c r="C92" s="60" t="s">
        <v>155</v>
      </c>
    </row>
    <row r="93" spans="1:3" x14ac:dyDescent="0.25">
      <c r="A93" s="8" t="s">
        <v>86</v>
      </c>
      <c r="B93" s="9">
        <v>600</v>
      </c>
      <c r="C93" s="60" t="s">
        <v>7</v>
      </c>
    </row>
    <row r="94" spans="1:3" x14ac:dyDescent="0.25">
      <c r="A94" s="8" t="s">
        <v>157</v>
      </c>
      <c r="B94" s="9">
        <v>3800</v>
      </c>
      <c r="C94" s="60" t="s">
        <v>8</v>
      </c>
    </row>
    <row r="95" spans="1:3" x14ac:dyDescent="0.25">
      <c r="A95" s="8" t="s">
        <v>87</v>
      </c>
      <c r="B95" s="9">
        <v>2000</v>
      </c>
      <c r="C95" s="60" t="s">
        <v>155</v>
      </c>
    </row>
    <row r="96" spans="1:3" x14ac:dyDescent="0.25">
      <c r="A96" s="8" t="s">
        <v>88</v>
      </c>
      <c r="B96" s="9">
        <v>50</v>
      </c>
      <c r="C96" s="60" t="s">
        <v>8</v>
      </c>
    </row>
    <row r="97" spans="1:3" ht="15.75" thickBot="1" x14ac:dyDescent="0.3">
      <c r="A97" s="12" t="s">
        <v>89</v>
      </c>
      <c r="B97" s="2">
        <v>3000</v>
      </c>
      <c r="C97" s="60" t="s">
        <v>8</v>
      </c>
    </row>
    <row r="98" spans="1:3" ht="15.75" thickBot="1" x14ac:dyDescent="0.3">
      <c r="A98" s="41" t="s">
        <v>90</v>
      </c>
      <c r="B98" s="45">
        <v>26320</v>
      </c>
      <c r="C98" s="60"/>
    </row>
    <row r="99" spans="1:3" x14ac:dyDescent="0.25">
      <c r="A99" s="6" t="s">
        <v>91</v>
      </c>
      <c r="B99" s="9">
        <v>800</v>
      </c>
      <c r="C99" s="60" t="s">
        <v>7</v>
      </c>
    </row>
    <row r="100" spans="1:3" x14ac:dyDescent="0.25">
      <c r="A100" s="8" t="s">
        <v>92</v>
      </c>
      <c r="B100" s="9">
        <v>200</v>
      </c>
      <c r="C100" s="60" t="s">
        <v>7</v>
      </c>
    </row>
    <row r="101" spans="1:3" x14ac:dyDescent="0.25">
      <c r="A101" s="8" t="s">
        <v>149</v>
      </c>
      <c r="B101" s="9">
        <v>1290</v>
      </c>
      <c r="C101" s="60" t="s">
        <v>7</v>
      </c>
    </row>
    <row r="102" spans="1:3" x14ac:dyDescent="0.25">
      <c r="A102" s="8" t="s">
        <v>93</v>
      </c>
      <c r="B102" s="9">
        <v>200</v>
      </c>
      <c r="C102" s="60" t="s">
        <v>7</v>
      </c>
    </row>
    <row r="103" spans="1:3" x14ac:dyDescent="0.25">
      <c r="A103" s="8" t="s">
        <v>94</v>
      </c>
      <c r="B103" s="9">
        <v>800</v>
      </c>
      <c r="C103" s="60" t="s">
        <v>7</v>
      </c>
    </row>
    <row r="104" spans="1:3" x14ac:dyDescent="0.25">
      <c r="A104" s="8" t="s">
        <v>95</v>
      </c>
      <c r="B104" s="9">
        <v>300</v>
      </c>
      <c r="C104" s="60" t="s">
        <v>7</v>
      </c>
    </row>
    <row r="105" spans="1:3" x14ac:dyDescent="0.25">
      <c r="A105" s="8" t="s">
        <v>96</v>
      </c>
      <c r="B105" s="9">
        <v>1260</v>
      </c>
      <c r="C105" s="60" t="s">
        <v>7</v>
      </c>
    </row>
    <row r="106" spans="1:3" x14ac:dyDescent="0.25">
      <c r="A106" s="8" t="s">
        <v>160</v>
      </c>
      <c r="B106" s="9">
        <v>0</v>
      </c>
      <c r="C106" s="60"/>
    </row>
    <row r="107" spans="1:3" x14ac:dyDescent="0.25">
      <c r="A107" s="8" t="s">
        <v>97</v>
      </c>
      <c r="B107" s="9">
        <v>1200</v>
      </c>
      <c r="C107" s="60" t="s">
        <v>7</v>
      </c>
    </row>
    <row r="108" spans="1:3" x14ac:dyDescent="0.25">
      <c r="A108" s="8" t="s">
        <v>98</v>
      </c>
      <c r="B108" s="9">
        <v>1200</v>
      </c>
      <c r="C108" s="60" t="s">
        <v>7</v>
      </c>
    </row>
    <row r="109" spans="1:3" x14ac:dyDescent="0.25">
      <c r="A109" s="8" t="s">
        <v>99</v>
      </c>
      <c r="B109" s="9">
        <v>5000</v>
      </c>
      <c r="C109" s="60" t="s">
        <v>7</v>
      </c>
    </row>
    <row r="110" spans="1:3" x14ac:dyDescent="0.25">
      <c r="A110" s="8" t="s">
        <v>100</v>
      </c>
      <c r="B110" s="9">
        <v>100</v>
      </c>
      <c r="C110" s="60" t="s">
        <v>8</v>
      </c>
    </row>
    <row r="111" spans="1:3" x14ac:dyDescent="0.25">
      <c r="A111" s="8" t="s">
        <v>161</v>
      </c>
      <c r="B111" s="9">
        <v>0</v>
      </c>
      <c r="C111" s="60"/>
    </row>
    <row r="112" spans="1:3" x14ac:dyDescent="0.25">
      <c r="A112" s="8" t="s">
        <v>101</v>
      </c>
      <c r="B112" s="9">
        <v>900</v>
      </c>
      <c r="C112" s="60" t="s">
        <v>7</v>
      </c>
    </row>
    <row r="113" spans="1:3" x14ac:dyDescent="0.25">
      <c r="A113" s="8" t="s">
        <v>102</v>
      </c>
      <c r="B113" s="9">
        <v>1200</v>
      </c>
      <c r="C113" s="60" t="s">
        <v>7</v>
      </c>
    </row>
    <row r="114" spans="1:3" x14ac:dyDescent="0.25">
      <c r="A114" s="8" t="s">
        <v>103</v>
      </c>
      <c r="B114" s="9">
        <v>100</v>
      </c>
      <c r="C114" s="60" t="s">
        <v>7</v>
      </c>
    </row>
    <row r="115" spans="1:3" x14ac:dyDescent="0.25">
      <c r="A115" s="8" t="s">
        <v>104</v>
      </c>
      <c r="B115" s="9">
        <v>1050</v>
      </c>
      <c r="C115" s="60" t="s">
        <v>7</v>
      </c>
    </row>
    <row r="116" spans="1:3" x14ac:dyDescent="0.25">
      <c r="A116" s="8" t="s">
        <v>105</v>
      </c>
      <c r="B116" s="9">
        <v>200</v>
      </c>
      <c r="C116" s="60" t="s">
        <v>7</v>
      </c>
    </row>
    <row r="117" spans="1:3" x14ac:dyDescent="0.25">
      <c r="A117" s="8" t="s">
        <v>106</v>
      </c>
      <c r="B117" s="9">
        <v>1200</v>
      </c>
      <c r="C117" s="60" t="s">
        <v>7</v>
      </c>
    </row>
    <row r="118" spans="1:3" x14ac:dyDescent="0.25">
      <c r="A118" s="8" t="s">
        <v>107</v>
      </c>
      <c r="B118" s="9">
        <v>4100</v>
      </c>
      <c r="C118" s="60" t="s">
        <v>7</v>
      </c>
    </row>
    <row r="119" spans="1:3" x14ac:dyDescent="0.25">
      <c r="A119" s="23" t="s">
        <v>108</v>
      </c>
      <c r="B119" s="9">
        <v>2220</v>
      </c>
      <c r="C119" s="60" t="s">
        <v>7</v>
      </c>
    </row>
    <row r="120" spans="1:3" x14ac:dyDescent="0.25">
      <c r="A120" s="8" t="s">
        <v>109</v>
      </c>
      <c r="B120" s="9">
        <v>900</v>
      </c>
      <c r="C120" s="60" t="s">
        <v>7</v>
      </c>
    </row>
    <row r="121" spans="1:3" x14ac:dyDescent="0.25">
      <c r="A121" s="8" t="s">
        <v>110</v>
      </c>
      <c r="B121" s="9">
        <v>1200</v>
      </c>
      <c r="C121" s="60" t="s">
        <v>8</v>
      </c>
    </row>
    <row r="122" spans="1:3" ht="15.75" thickBot="1" x14ac:dyDescent="0.3">
      <c r="A122" s="12" t="s">
        <v>111</v>
      </c>
      <c r="B122" s="9">
        <v>900</v>
      </c>
      <c r="C122" s="60" t="s">
        <v>7</v>
      </c>
    </row>
    <row r="123" spans="1:3" ht="15.75" thickBot="1" x14ac:dyDescent="0.3">
      <c r="A123" s="41" t="s">
        <v>112</v>
      </c>
      <c r="B123" s="45">
        <v>178583</v>
      </c>
      <c r="C123" s="60"/>
    </row>
    <row r="124" spans="1:3" x14ac:dyDescent="0.25">
      <c r="A124" s="6" t="s">
        <v>113</v>
      </c>
      <c r="B124" s="9">
        <v>5850</v>
      </c>
      <c r="C124" s="60" t="s">
        <v>155</v>
      </c>
    </row>
    <row r="125" spans="1:3" x14ac:dyDescent="0.25">
      <c r="A125" s="8" t="s">
        <v>114</v>
      </c>
      <c r="B125" s="9">
        <v>350</v>
      </c>
      <c r="C125" s="60" t="s">
        <v>7</v>
      </c>
    </row>
    <row r="126" spans="1:3" x14ac:dyDescent="0.25">
      <c r="A126" s="8" t="s">
        <v>162</v>
      </c>
      <c r="B126" s="9">
        <v>100</v>
      </c>
      <c r="C126" s="60"/>
    </row>
    <row r="127" spans="1:3" x14ac:dyDescent="0.25">
      <c r="A127" s="8" t="s">
        <v>115</v>
      </c>
      <c r="B127" s="9">
        <v>700</v>
      </c>
      <c r="C127" s="60" t="s">
        <v>7</v>
      </c>
    </row>
    <row r="128" spans="1:3" x14ac:dyDescent="0.25">
      <c r="A128" s="8" t="s">
        <v>116</v>
      </c>
      <c r="B128" s="9">
        <v>20</v>
      </c>
      <c r="C128" s="60" t="s">
        <v>8</v>
      </c>
    </row>
    <row r="129" spans="1:3" x14ac:dyDescent="0.25">
      <c r="A129" s="8" t="s">
        <v>117</v>
      </c>
      <c r="B129" s="9">
        <v>200</v>
      </c>
      <c r="C129" s="60" t="s">
        <v>8</v>
      </c>
    </row>
    <row r="130" spans="1:3" x14ac:dyDescent="0.25">
      <c r="A130" s="8" t="s">
        <v>118</v>
      </c>
      <c r="B130" s="9">
        <v>500</v>
      </c>
      <c r="C130" s="60" t="s">
        <v>8</v>
      </c>
    </row>
    <row r="131" spans="1:3" x14ac:dyDescent="0.25">
      <c r="A131" s="8" t="s">
        <v>119</v>
      </c>
      <c r="B131" s="9">
        <v>10072</v>
      </c>
      <c r="C131" s="60" t="s">
        <v>7</v>
      </c>
    </row>
    <row r="132" spans="1:3" x14ac:dyDescent="0.25">
      <c r="A132" s="8" t="s">
        <v>163</v>
      </c>
      <c r="B132" s="9">
        <v>900</v>
      </c>
      <c r="C132" s="60" t="s">
        <v>7</v>
      </c>
    </row>
    <row r="133" spans="1:3" x14ac:dyDescent="0.25">
      <c r="A133" s="8" t="s">
        <v>120</v>
      </c>
      <c r="B133" s="9">
        <v>1200</v>
      </c>
      <c r="C133" s="60" t="s">
        <v>7</v>
      </c>
    </row>
    <row r="134" spans="1:3" x14ac:dyDescent="0.25">
      <c r="A134" s="23" t="s">
        <v>121</v>
      </c>
      <c r="B134" s="9">
        <v>27600</v>
      </c>
      <c r="C134" s="60" t="s">
        <v>155</v>
      </c>
    </row>
    <row r="135" spans="1:3" x14ac:dyDescent="0.25">
      <c r="A135" s="8" t="s">
        <v>122</v>
      </c>
      <c r="B135" s="9">
        <v>54448</v>
      </c>
      <c r="C135" s="60" t="s">
        <v>155</v>
      </c>
    </row>
    <row r="136" spans="1:3" x14ac:dyDescent="0.25">
      <c r="A136" s="8" t="s">
        <v>158</v>
      </c>
      <c r="B136" s="9">
        <v>65777</v>
      </c>
      <c r="C136" s="60" t="s">
        <v>7</v>
      </c>
    </row>
    <row r="137" spans="1:3" x14ac:dyDescent="0.25">
      <c r="A137" s="8" t="s">
        <v>123</v>
      </c>
      <c r="B137" s="9">
        <v>1700</v>
      </c>
      <c r="C137" s="60" t="s">
        <v>155</v>
      </c>
    </row>
    <row r="138" spans="1:3" x14ac:dyDescent="0.25">
      <c r="A138" s="8" t="s">
        <v>124</v>
      </c>
      <c r="B138" s="9">
        <v>3100</v>
      </c>
      <c r="C138" s="60" t="s">
        <v>7</v>
      </c>
    </row>
    <row r="139" spans="1:3" x14ac:dyDescent="0.25">
      <c r="A139" s="8" t="s">
        <v>125</v>
      </c>
      <c r="B139" s="9">
        <v>1800</v>
      </c>
      <c r="C139" s="60" t="s">
        <v>7</v>
      </c>
    </row>
    <row r="140" spans="1:3" x14ac:dyDescent="0.25">
      <c r="A140" s="8" t="s">
        <v>164</v>
      </c>
      <c r="B140" s="9">
        <v>166</v>
      </c>
      <c r="C140" s="60" t="s">
        <v>7</v>
      </c>
    </row>
    <row r="141" spans="1:3" x14ac:dyDescent="0.25">
      <c r="A141" s="8" t="s">
        <v>126</v>
      </c>
      <c r="B141" s="9">
        <v>1300</v>
      </c>
      <c r="C141" s="60" t="s">
        <v>155</v>
      </c>
    </row>
    <row r="142" spans="1:3" x14ac:dyDescent="0.25">
      <c r="A142" s="8" t="s">
        <v>127</v>
      </c>
      <c r="B142" s="9">
        <v>1600</v>
      </c>
      <c r="C142" s="60" t="s">
        <v>7</v>
      </c>
    </row>
    <row r="143" spans="1:3" x14ac:dyDescent="0.25">
      <c r="A143" s="8" t="s">
        <v>128</v>
      </c>
      <c r="B143" s="9">
        <v>400</v>
      </c>
      <c r="C143" s="60" t="s">
        <v>155</v>
      </c>
    </row>
    <row r="144" spans="1:3" ht="15.75" thickBot="1" x14ac:dyDescent="0.3">
      <c r="A144" s="17" t="s">
        <v>129</v>
      </c>
      <c r="B144" s="9">
        <v>800</v>
      </c>
      <c r="C144" s="60" t="s">
        <v>159</v>
      </c>
    </row>
    <row r="145" spans="1:3" ht="15.75" thickBot="1" x14ac:dyDescent="0.3">
      <c r="A145" s="47" t="s">
        <v>152</v>
      </c>
      <c r="B145" s="72">
        <v>1985</v>
      </c>
      <c r="C145" s="60" t="s">
        <v>8</v>
      </c>
    </row>
    <row r="146" spans="1:3" ht="15.75" thickBot="1" x14ac:dyDescent="0.3">
      <c r="A146" s="48" t="s">
        <v>130</v>
      </c>
      <c r="B146" s="72">
        <v>3000</v>
      </c>
      <c r="C146" s="60" t="s">
        <v>8</v>
      </c>
    </row>
    <row r="147" spans="1:3" ht="15.75" thickBot="1" x14ac:dyDescent="0.3">
      <c r="A147" s="47" t="s">
        <v>151</v>
      </c>
      <c r="B147" s="72">
        <v>2600</v>
      </c>
      <c r="C147" s="60" t="s">
        <v>155</v>
      </c>
    </row>
    <row r="148" spans="1:3" x14ac:dyDescent="0.25">
      <c r="A148" s="6" t="s">
        <v>131</v>
      </c>
      <c r="B148" s="9">
        <v>1800</v>
      </c>
      <c r="C148" s="60" t="s">
        <v>7</v>
      </c>
    </row>
    <row r="149" spans="1:3" x14ac:dyDescent="0.25">
      <c r="A149" s="8" t="s">
        <v>132</v>
      </c>
      <c r="B149" s="9">
        <v>100</v>
      </c>
      <c r="C149" s="60" t="s">
        <v>7</v>
      </c>
    </row>
    <row r="150" spans="1:3" x14ac:dyDescent="0.25">
      <c r="A150" s="12" t="s">
        <v>133</v>
      </c>
      <c r="B150" s="9">
        <v>600</v>
      </c>
      <c r="C150" s="60" t="s">
        <v>155</v>
      </c>
    </row>
    <row r="151" spans="1:3" ht="15.75" thickBot="1" x14ac:dyDescent="0.3">
      <c r="A151" s="18" t="s">
        <v>134</v>
      </c>
      <c r="B151" s="9">
        <v>100</v>
      </c>
      <c r="C151" s="60" t="s">
        <v>8</v>
      </c>
    </row>
    <row r="152" spans="1:3" ht="15.75" thickBot="1" x14ac:dyDescent="0.3">
      <c r="A152" s="50" t="s">
        <v>150</v>
      </c>
      <c r="B152" s="44">
        <v>900</v>
      </c>
      <c r="C152" s="60" t="s">
        <v>159</v>
      </c>
    </row>
    <row r="153" spans="1:3" ht="15.75" thickBot="1" x14ac:dyDescent="0.3">
      <c r="A153" s="41" t="s">
        <v>135</v>
      </c>
      <c r="B153" s="44">
        <v>700</v>
      </c>
      <c r="C153" s="60" t="s">
        <v>8</v>
      </c>
    </row>
    <row r="154" spans="1:3" ht="16.5" thickBot="1" x14ac:dyDescent="0.3">
      <c r="A154" s="29" t="s">
        <v>136</v>
      </c>
      <c r="B154" s="30">
        <v>2770287</v>
      </c>
      <c r="C154" s="60"/>
    </row>
    <row r="155" spans="1:3" x14ac:dyDescent="0.25">
      <c r="A155" s="19" t="s">
        <v>166</v>
      </c>
      <c r="B155" s="2">
        <v>0</v>
      </c>
      <c r="C155" s="60"/>
    </row>
    <row r="156" spans="1:3" x14ac:dyDescent="0.25">
      <c r="A156" s="19" t="s">
        <v>137</v>
      </c>
      <c r="B156" s="2">
        <v>2797</v>
      </c>
      <c r="C156" s="60" t="s">
        <v>174</v>
      </c>
    </row>
    <row r="157" spans="1:3" x14ac:dyDescent="0.25">
      <c r="A157" s="19" t="s">
        <v>156</v>
      </c>
      <c r="B157" s="2">
        <v>0</v>
      </c>
      <c r="C157" s="60"/>
    </row>
    <row r="158" spans="1:3" x14ac:dyDescent="0.25">
      <c r="A158" s="21" t="s">
        <v>138</v>
      </c>
      <c r="B158" s="2">
        <v>0</v>
      </c>
      <c r="C158" s="60"/>
    </row>
    <row r="159" spans="1:3" x14ac:dyDescent="0.25">
      <c r="A159" s="21" t="s">
        <v>175</v>
      </c>
      <c r="B159" s="2">
        <v>0</v>
      </c>
      <c r="C159" s="60"/>
    </row>
    <row r="160" spans="1:3" x14ac:dyDescent="0.25">
      <c r="A160" s="21" t="s">
        <v>139</v>
      </c>
      <c r="B160" s="2">
        <v>0</v>
      </c>
      <c r="C160" s="60"/>
    </row>
    <row r="161" spans="1:3" x14ac:dyDescent="0.25">
      <c r="A161" s="21" t="s">
        <v>140</v>
      </c>
      <c r="B161" s="2">
        <v>50</v>
      </c>
      <c r="C161" s="60" t="s">
        <v>8</v>
      </c>
    </row>
    <row r="162" spans="1:3" x14ac:dyDescent="0.25">
      <c r="A162" s="19" t="s">
        <v>141</v>
      </c>
      <c r="B162" s="2">
        <v>400</v>
      </c>
      <c r="C162" s="60" t="s">
        <v>8</v>
      </c>
    </row>
    <row r="163" spans="1:3" x14ac:dyDescent="0.25">
      <c r="A163" s="21" t="s">
        <v>142</v>
      </c>
      <c r="B163" s="2">
        <v>1949</v>
      </c>
      <c r="C163" s="60" t="s">
        <v>193</v>
      </c>
    </row>
    <row r="164" spans="1:3" x14ac:dyDescent="0.25">
      <c r="A164" s="21" t="s">
        <v>176</v>
      </c>
      <c r="B164" s="2">
        <v>15</v>
      </c>
      <c r="C164" s="60" t="s">
        <v>8</v>
      </c>
    </row>
    <row r="165" spans="1:3" x14ac:dyDescent="0.25">
      <c r="A165" s="19" t="s">
        <v>143</v>
      </c>
      <c r="B165" s="2">
        <v>150</v>
      </c>
      <c r="C165" s="60" t="s">
        <v>8</v>
      </c>
    </row>
    <row r="166" spans="1:3" x14ac:dyDescent="0.25">
      <c r="A166" s="22" t="s">
        <v>144</v>
      </c>
      <c r="B166" s="2">
        <v>0</v>
      </c>
      <c r="C166" s="60" t="s">
        <v>8</v>
      </c>
    </row>
    <row r="167" spans="1:3" x14ac:dyDescent="0.25">
      <c r="A167" s="19" t="s">
        <v>145</v>
      </c>
      <c r="B167" s="2">
        <v>0</v>
      </c>
      <c r="C167" s="60"/>
    </row>
    <row r="168" spans="1:3" x14ac:dyDescent="0.25">
      <c r="A168" s="19" t="s">
        <v>168</v>
      </c>
      <c r="B168" s="2">
        <v>100</v>
      </c>
      <c r="C168" s="60"/>
    </row>
    <row r="169" spans="1:3" ht="15.75" thickBot="1" x14ac:dyDescent="0.3">
      <c r="A169" s="19" t="s">
        <v>146</v>
      </c>
      <c r="B169" s="2">
        <v>50</v>
      </c>
      <c r="C169" s="60" t="s">
        <v>8</v>
      </c>
    </row>
    <row r="170" spans="1:3" ht="16.5" thickBot="1" x14ac:dyDescent="0.3">
      <c r="A170" s="29" t="s">
        <v>147</v>
      </c>
      <c r="B170" s="30">
        <v>5511</v>
      </c>
      <c r="C170" s="61"/>
    </row>
    <row r="171" spans="1:3" ht="16.5" thickBot="1" x14ac:dyDescent="0.3">
      <c r="A171" s="34" t="s">
        <v>148</v>
      </c>
      <c r="B171" s="35">
        <v>2775798</v>
      </c>
      <c r="C171" s="62"/>
    </row>
    <row r="172" spans="1:3" x14ac:dyDescent="0.25">
      <c r="B172" s="147" t="s">
        <v>179</v>
      </c>
      <c r="C172" s="147"/>
    </row>
    <row r="173" spans="1:3" x14ac:dyDescent="0.25">
      <c r="B173" s="147" t="s">
        <v>181</v>
      </c>
      <c r="C173" s="147"/>
    </row>
    <row r="174" spans="1:3" x14ac:dyDescent="0.25">
      <c r="B174" s="147"/>
      <c r="C174" s="147"/>
    </row>
  </sheetData>
  <mergeCells count="4">
    <mergeCell ref="A2:C2"/>
    <mergeCell ref="A3:C3"/>
    <mergeCell ref="B172:C172"/>
    <mergeCell ref="B173:C17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opLeftCell="B157" zoomScale="120" zoomScaleNormal="120" workbookViewId="0">
      <selection activeCell="K173" sqref="K173"/>
    </sheetView>
  </sheetViews>
  <sheetFormatPr defaultRowHeight="15" x14ac:dyDescent="0.2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44" t="s">
        <v>0</v>
      </c>
      <c r="C2" s="144"/>
      <c r="D2" s="144"/>
      <c r="E2" s="144"/>
      <c r="F2" s="144"/>
      <c r="G2" s="144"/>
      <c r="H2" s="144"/>
    </row>
    <row r="3" spans="2:11" x14ac:dyDescent="0.25">
      <c r="B3" s="145" t="s">
        <v>194</v>
      </c>
      <c r="C3" s="145"/>
      <c r="D3" s="145"/>
      <c r="E3" s="145"/>
      <c r="F3" s="145"/>
      <c r="G3" s="145"/>
      <c r="H3" s="145"/>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109">
        <f>2155096+335323+29000+C22+C29+70000+2965+13592+3162</f>
        <v>2681262</v>
      </c>
      <c r="D7" s="109"/>
      <c r="E7" s="7"/>
      <c r="F7" s="64"/>
      <c r="G7" s="64"/>
      <c r="H7" s="2">
        <f>SUM(C7:G7)</f>
        <v>2681262</v>
      </c>
    </row>
    <row r="8" spans="2:11" x14ac:dyDescent="0.25">
      <c r="B8" s="8" t="s">
        <v>10</v>
      </c>
      <c r="C8" s="73">
        <f>28311+2392</f>
        <v>30703</v>
      </c>
      <c r="D8" s="73"/>
      <c r="E8" s="9"/>
      <c r="F8" s="64"/>
      <c r="G8" s="64"/>
      <c r="H8" s="2">
        <f t="shared" ref="H8:H13" si="0">SUM(C8:G8)</f>
        <v>30703</v>
      </c>
    </row>
    <row r="9" spans="2:11" x14ac:dyDescent="0.25">
      <c r="B9" s="8" t="s">
        <v>195</v>
      </c>
      <c r="C9" s="9"/>
      <c r="D9" s="9"/>
      <c r="E9" s="102">
        <f>54750+2000+2500+530+750+670-3000-930-1070+550+1775</f>
        <v>58525</v>
      </c>
      <c r="F9" s="64"/>
      <c r="G9" s="64"/>
      <c r="H9" s="2">
        <f t="shared" si="0"/>
        <v>58525</v>
      </c>
    </row>
    <row r="10" spans="2:11" x14ac:dyDescent="0.25">
      <c r="B10" s="8" t="s">
        <v>169</v>
      </c>
      <c r="C10" s="9">
        <v>2527</v>
      </c>
      <c r="D10" s="9"/>
      <c r="E10" s="102">
        <f>4500+3000+250+900</f>
        <v>8650</v>
      </c>
      <c r="F10" s="64"/>
      <c r="G10" s="64"/>
      <c r="H10" s="2">
        <f t="shared" si="0"/>
        <v>11177</v>
      </c>
    </row>
    <row r="11" spans="2:11" x14ac:dyDescent="0.25">
      <c r="B11" s="8" t="s">
        <v>170</v>
      </c>
      <c r="C11" s="9"/>
      <c r="D11" s="102">
        <f>80011+700</f>
        <v>80711</v>
      </c>
      <c r="E11" s="9"/>
      <c r="F11" s="106">
        <f>729+4000</f>
        <v>4729</v>
      </c>
      <c r="G11" s="64"/>
      <c r="H11" s="2">
        <f>SUM(C11:G11)</f>
        <v>85440</v>
      </c>
    </row>
    <row r="12" spans="2:11" x14ac:dyDescent="0.25">
      <c r="B12" s="8" t="s">
        <v>196</v>
      </c>
      <c r="C12" s="9"/>
      <c r="D12" s="9"/>
      <c r="E12" s="9"/>
      <c r="F12" s="106">
        <v>500</v>
      </c>
      <c r="G12" s="64"/>
      <c r="H12" s="2">
        <f t="shared" si="0"/>
        <v>500</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2717103</v>
      </c>
      <c r="D15" s="30">
        <f>SUM(D7:D14)</f>
        <v>80711</v>
      </c>
      <c r="E15" s="30">
        <f>SUM(E7:E14)</f>
        <v>72825</v>
      </c>
      <c r="F15" s="30">
        <f t="shared" ref="F15:G15" si="1">SUM(F7:F14)</f>
        <v>5229</v>
      </c>
      <c r="G15" s="30">
        <f t="shared" si="1"/>
        <v>3085</v>
      </c>
      <c r="H15" s="30">
        <f>SUM(H7:H14)</f>
        <v>2878953</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105">
        <v>80</v>
      </c>
      <c r="E19" s="45">
        <f>22550-550</f>
        <v>22000</v>
      </c>
      <c r="F19" s="45"/>
      <c r="G19" s="45">
        <v>288</v>
      </c>
      <c r="H19" s="45">
        <f>SUM(C19:G19)</f>
        <v>2275474</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45">
        <f>1800+100</f>
        <v>1900</v>
      </c>
      <c r="F21" s="45"/>
      <c r="G21" s="45"/>
      <c r="H21" s="45">
        <f t="shared" si="2"/>
        <v>1900</v>
      </c>
    </row>
    <row r="22" spans="2:10" ht="15.75" thickBot="1" x14ac:dyDescent="0.3">
      <c r="B22" s="41" t="s">
        <v>19</v>
      </c>
      <c r="C22" s="42">
        <f>+C24+C25+C26+C27+C28+C23</f>
        <v>42624</v>
      </c>
      <c r="D22" s="42"/>
      <c r="E22" s="42">
        <f t="shared" ref="E22:G22" si="3">+E24+E25+E26+E27+E28</f>
        <v>2100</v>
      </c>
      <c r="F22" s="42"/>
      <c r="G22" s="42">
        <f t="shared" si="3"/>
        <v>0</v>
      </c>
      <c r="H22" s="42">
        <f>+H23+H24+H25+H26+H27+H28</f>
        <v>44724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
        <f>750+150+500</f>
        <v>1400</v>
      </c>
      <c r="D27" s="1"/>
      <c r="E27" s="1">
        <v>100</v>
      </c>
      <c r="F27" s="1"/>
      <c r="G27" s="9"/>
      <c r="H27" s="7">
        <f t="shared" si="4"/>
        <v>1500</v>
      </c>
    </row>
    <row r="28" spans="2:10" ht="15.75" thickBot="1" x14ac:dyDescent="0.3">
      <c r="B28" s="8" t="s">
        <v>167</v>
      </c>
      <c r="C28" s="74">
        <f>5600+17774-104</f>
        <v>23270</v>
      </c>
      <c r="D28" s="74"/>
      <c r="E28" s="74">
        <v>900</v>
      </c>
      <c r="F28" s="90"/>
      <c r="G28" s="13"/>
      <c r="H28" s="7">
        <f t="shared" si="4"/>
        <v>24170</v>
      </c>
    </row>
    <row r="29" spans="2:10" ht="15.75" thickBot="1" x14ac:dyDescent="0.3">
      <c r="B29" s="41" t="s">
        <v>24</v>
      </c>
      <c r="C29" s="45">
        <f t="shared" ref="C29" si="5">+C30</f>
        <v>29500</v>
      </c>
      <c r="D29" s="45"/>
      <c r="E29" s="45">
        <f>+E30+E31</f>
        <v>515</v>
      </c>
      <c r="F29" s="101"/>
      <c r="G29" s="87"/>
      <c r="H29" s="45">
        <f>H30+H31</f>
        <v>30015</v>
      </c>
    </row>
    <row r="30" spans="2:10" x14ac:dyDescent="0.25">
      <c r="B30" s="10" t="s">
        <v>25</v>
      </c>
      <c r="C30" s="13">
        <v>29500</v>
      </c>
      <c r="D30" s="37"/>
      <c r="E30" s="115">
        <f>200+5</f>
        <v>205</v>
      </c>
      <c r="F30" s="37"/>
      <c r="G30" s="9"/>
      <c r="H30" s="88">
        <f>SUM(C30:E30)</f>
        <v>29705</v>
      </c>
    </row>
    <row r="31" spans="2:10" x14ac:dyDescent="0.25">
      <c r="B31" s="53" t="s">
        <v>178</v>
      </c>
      <c r="C31" s="9"/>
      <c r="D31" s="9"/>
      <c r="E31" s="9">
        <v>310</v>
      </c>
      <c r="F31" s="9"/>
      <c r="G31" s="9"/>
      <c r="H31" s="9">
        <f>SUM(C31:E31)</f>
        <v>310</v>
      </c>
    </row>
    <row r="32" spans="2:10" ht="15.75" thickBot="1" x14ac:dyDescent="0.3">
      <c r="B32" s="48" t="s">
        <v>26</v>
      </c>
      <c r="C32" s="86">
        <f>SUM(C33:C56)</f>
        <v>98382</v>
      </c>
      <c r="D32" s="86"/>
      <c r="E32" s="86">
        <f t="shared" ref="E32" si="6">SUM(E33:E56)</f>
        <v>9940</v>
      </c>
      <c r="F32" s="86"/>
      <c r="G32" s="86"/>
      <c r="H32" s="86">
        <f>SUM(H33:H56)</f>
        <v>108322</v>
      </c>
    </row>
    <row r="33" spans="2:11" x14ac:dyDescent="0.25">
      <c r="B33" s="53" t="s">
        <v>27</v>
      </c>
      <c r="C33" s="9">
        <v>2000</v>
      </c>
      <c r="D33" s="9"/>
      <c r="E33" s="9">
        <f>200+100</f>
        <v>300</v>
      </c>
      <c r="F33" s="9"/>
      <c r="G33" s="9"/>
      <c r="H33" s="9">
        <f>SUM(C33:G33)</f>
        <v>2300</v>
      </c>
    </row>
    <row r="34" spans="2:11" x14ac:dyDescent="0.25">
      <c r="B34" s="53" t="s">
        <v>28</v>
      </c>
      <c r="C34" s="73">
        <f>27392</f>
        <v>27392</v>
      </c>
      <c r="D34" s="73"/>
      <c r="E34" s="104">
        <f>500+250</f>
        <v>750</v>
      </c>
      <c r="F34" s="66"/>
      <c r="G34" s="9"/>
      <c r="H34" s="9">
        <f t="shared" ref="H34:H56" si="7">SUM(C34:G34)</f>
        <v>28142</v>
      </c>
    </row>
    <row r="35" spans="2:11" x14ac:dyDescent="0.25">
      <c r="B35" s="53" t="s">
        <v>29</v>
      </c>
      <c r="C35" s="73">
        <f>11000+1500</f>
        <v>12500</v>
      </c>
      <c r="D35" s="73"/>
      <c r="E35" s="104">
        <f>100+1400</f>
        <v>1500</v>
      </c>
      <c r="F35" s="66"/>
      <c r="G35" s="9"/>
      <c r="H35" s="9">
        <f t="shared" si="7"/>
        <v>14000</v>
      </c>
    </row>
    <row r="36" spans="2:11" x14ac:dyDescent="0.25">
      <c r="B36" s="53" t="s">
        <v>30</v>
      </c>
      <c r="C36" s="73">
        <v>100</v>
      </c>
      <c r="D36" s="73"/>
      <c r="E36" s="9"/>
      <c r="F36" s="9"/>
      <c r="G36" s="9"/>
      <c r="H36" s="9">
        <f t="shared" si="7"/>
        <v>100</v>
      </c>
    </row>
    <row r="37" spans="2:11" x14ac:dyDescent="0.25">
      <c r="B37" s="53" t="s">
        <v>31</v>
      </c>
      <c r="C37" s="104">
        <f>21000+2000</f>
        <v>23000</v>
      </c>
      <c r="D37" s="104"/>
      <c r="E37" s="66">
        <v>2500</v>
      </c>
      <c r="F37" s="66"/>
      <c r="G37" s="9"/>
      <c r="H37" s="9">
        <f t="shared" si="7"/>
        <v>25500</v>
      </c>
    </row>
    <row r="38" spans="2:11" x14ac:dyDescent="0.25">
      <c r="B38" s="53" t="s">
        <v>32</v>
      </c>
      <c r="C38" s="104">
        <f>6540-200</f>
        <v>6340</v>
      </c>
      <c r="D38" s="104"/>
      <c r="E38" s="104">
        <v>120</v>
      </c>
      <c r="F38" s="9"/>
      <c r="G38" s="9"/>
      <c r="H38" s="9">
        <f t="shared" si="7"/>
        <v>6460</v>
      </c>
      <c r="K38" s="56"/>
    </row>
    <row r="39" spans="2:11" x14ac:dyDescent="0.25">
      <c r="B39" s="53" t="s">
        <v>33</v>
      </c>
      <c r="C39" s="102">
        <f>500-50</f>
        <v>450</v>
      </c>
      <c r="D39" s="102"/>
      <c r="E39" s="9"/>
      <c r="F39" s="9"/>
      <c r="G39" s="9"/>
      <c r="H39" s="9">
        <f t="shared" si="7"/>
        <v>450</v>
      </c>
    </row>
    <row r="40" spans="2:11" x14ac:dyDescent="0.25">
      <c r="B40" s="53" t="s">
        <v>34</v>
      </c>
      <c r="C40" s="102">
        <f>550-50</f>
        <v>500</v>
      </c>
      <c r="D40" s="102"/>
      <c r="E40" s="9"/>
      <c r="F40" s="9"/>
      <c r="G40" s="9"/>
      <c r="H40" s="9">
        <f t="shared" si="7"/>
        <v>500</v>
      </c>
    </row>
    <row r="41" spans="2:11" x14ac:dyDescent="0.25">
      <c r="B41" s="53" t="s">
        <v>35</v>
      </c>
      <c r="C41" s="102">
        <f>6000-800</f>
        <v>5200</v>
      </c>
      <c r="D41" s="102"/>
      <c r="E41" s="9"/>
      <c r="F41" s="9"/>
      <c r="G41" s="9"/>
      <c r="H41" s="9">
        <f t="shared" si="7"/>
        <v>5200</v>
      </c>
    </row>
    <row r="42" spans="2:11" x14ac:dyDescent="0.25">
      <c r="B42" s="53" t="s">
        <v>36</v>
      </c>
      <c r="C42" s="9">
        <v>3600</v>
      </c>
      <c r="D42" s="9"/>
      <c r="E42" s="9">
        <v>3600</v>
      </c>
      <c r="F42" s="9"/>
      <c r="G42" s="9"/>
      <c r="H42" s="9">
        <f t="shared" si="7"/>
        <v>7200</v>
      </c>
    </row>
    <row r="43" spans="2:11" x14ac:dyDescent="0.25">
      <c r="B43" s="53" t="s">
        <v>37</v>
      </c>
      <c r="C43" s="9">
        <v>6600</v>
      </c>
      <c r="D43" s="9"/>
      <c r="E43" s="9"/>
      <c r="F43" s="9"/>
      <c r="G43" s="9"/>
      <c r="H43" s="9">
        <f t="shared" si="7"/>
        <v>6600</v>
      </c>
    </row>
    <row r="44" spans="2:11" x14ac:dyDescent="0.25">
      <c r="B44" s="53" t="s">
        <v>38</v>
      </c>
      <c r="C44" s="9">
        <v>2700</v>
      </c>
      <c r="D44" s="9"/>
      <c r="E44" s="9"/>
      <c r="F44" s="9"/>
      <c r="G44" s="9"/>
      <c r="H44" s="9">
        <f t="shared" si="7"/>
        <v>2700</v>
      </c>
    </row>
    <row r="45" spans="2:11" x14ac:dyDescent="0.25">
      <c r="B45" s="53" t="s">
        <v>39</v>
      </c>
      <c r="C45" s="9">
        <v>1500</v>
      </c>
      <c r="D45" s="9"/>
      <c r="E45" s="9"/>
      <c r="F45" s="9"/>
      <c r="G45" s="9"/>
      <c r="H45" s="9">
        <f t="shared" si="7"/>
        <v>1500</v>
      </c>
    </row>
    <row r="46" spans="2:11" x14ac:dyDescent="0.25">
      <c r="B46" s="53" t="s">
        <v>40</v>
      </c>
      <c r="C46" s="9"/>
      <c r="D46" s="9"/>
      <c r="E46" s="9"/>
      <c r="F46" s="9"/>
      <c r="G46" s="9"/>
      <c r="H46" s="9">
        <f t="shared" si="7"/>
        <v>0</v>
      </c>
    </row>
    <row r="47" spans="2:11" x14ac:dyDescent="0.25">
      <c r="B47" s="53" t="s">
        <v>41</v>
      </c>
      <c r="C47" s="9">
        <v>600</v>
      </c>
      <c r="D47" s="9"/>
      <c r="E47" s="9">
        <v>50</v>
      </c>
      <c r="F47" s="9"/>
      <c r="G47" s="9"/>
      <c r="H47" s="9">
        <f t="shared" si="7"/>
        <v>650</v>
      </c>
    </row>
    <row r="48" spans="2:11" x14ac:dyDescent="0.25">
      <c r="B48" s="53" t="s">
        <v>42</v>
      </c>
      <c r="C48" s="9">
        <v>350</v>
      </c>
      <c r="D48" s="9"/>
      <c r="E48" s="9"/>
      <c r="F48" s="9"/>
      <c r="G48" s="9"/>
      <c r="H48" s="9">
        <f t="shared" si="7"/>
        <v>350</v>
      </c>
    </row>
    <row r="49" spans="2:8" x14ac:dyDescent="0.25">
      <c r="B49" s="53" t="s">
        <v>43</v>
      </c>
      <c r="C49" s="9">
        <v>550</v>
      </c>
      <c r="D49" s="9"/>
      <c r="E49" s="9"/>
      <c r="F49" s="9"/>
      <c r="G49" s="9"/>
      <c r="H49" s="9">
        <f t="shared" si="7"/>
        <v>550</v>
      </c>
    </row>
    <row r="50" spans="2:8" x14ac:dyDescent="0.25">
      <c r="B50" s="53" t="s">
        <v>44</v>
      </c>
      <c r="C50" s="9">
        <v>3800</v>
      </c>
      <c r="D50" s="9"/>
      <c r="E50" s="9"/>
      <c r="F50" s="9"/>
      <c r="G50" s="9"/>
      <c r="H50" s="9">
        <f t="shared" si="7"/>
        <v>3800</v>
      </c>
    </row>
    <row r="51" spans="2:8" x14ac:dyDescent="0.25">
      <c r="B51" s="53" t="s">
        <v>45</v>
      </c>
      <c r="C51" s="9">
        <v>1200</v>
      </c>
      <c r="D51" s="9"/>
      <c r="E51" s="9"/>
      <c r="F51" s="9"/>
      <c r="G51" s="9"/>
      <c r="H51" s="9">
        <f t="shared" si="7"/>
        <v>1200</v>
      </c>
    </row>
    <row r="52" spans="2:8" x14ac:dyDescent="0.25">
      <c r="B52" s="53" t="s">
        <v>46</v>
      </c>
      <c r="C52" s="9"/>
      <c r="D52" s="9"/>
      <c r="E52" s="9">
        <v>280</v>
      </c>
      <c r="F52" s="9"/>
      <c r="G52" s="9"/>
      <c r="H52" s="9">
        <f t="shared" si="7"/>
        <v>280</v>
      </c>
    </row>
    <row r="53" spans="2:8" x14ac:dyDescent="0.25">
      <c r="B53" s="53" t="s">
        <v>153</v>
      </c>
      <c r="C53" s="9"/>
      <c r="D53" s="9"/>
      <c r="E53" s="9">
        <f>110+30</f>
        <v>140</v>
      </c>
      <c r="F53" s="9"/>
      <c r="G53" s="9"/>
      <c r="H53" s="9">
        <f t="shared" si="7"/>
        <v>140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1276</v>
      </c>
      <c r="F57" s="42"/>
      <c r="G57" s="42"/>
      <c r="H57" s="44">
        <f>SUM(H58:H66)</f>
        <v>1276</v>
      </c>
    </row>
    <row r="58" spans="2:8" x14ac:dyDescent="0.25">
      <c r="B58" s="4" t="s">
        <v>51</v>
      </c>
      <c r="C58" s="7"/>
      <c r="D58" s="7"/>
      <c r="E58" s="7">
        <v>0</v>
      </c>
      <c r="F58" s="7"/>
      <c r="G58" s="7"/>
      <c r="H58" s="7">
        <f>SUM(C58:G58)</f>
        <v>0</v>
      </c>
    </row>
    <row r="59" spans="2:8" x14ac:dyDescent="0.25">
      <c r="B59" s="8" t="s">
        <v>52</v>
      </c>
      <c r="C59" s="9"/>
      <c r="D59" s="9"/>
      <c r="E59" s="9">
        <v>150</v>
      </c>
      <c r="F59" s="9"/>
      <c r="G59" s="9"/>
      <c r="H59" s="7">
        <f t="shared" ref="H59:H66" si="9">SUM(C59:G59)</f>
        <v>150</v>
      </c>
    </row>
    <row r="60" spans="2:8" x14ac:dyDescent="0.25">
      <c r="B60" s="8" t="s">
        <v>53</v>
      </c>
      <c r="C60" s="9"/>
      <c r="D60" s="9"/>
      <c r="E60" s="9">
        <v>250</v>
      </c>
      <c r="F60" s="9"/>
      <c r="G60" s="9"/>
      <c r="H60" s="7">
        <f t="shared" si="9"/>
        <v>250</v>
      </c>
    </row>
    <row r="61" spans="2:8" x14ac:dyDescent="0.25">
      <c r="B61" s="8" t="s">
        <v>54</v>
      </c>
      <c r="C61" s="9"/>
      <c r="D61" s="9"/>
      <c r="E61" s="9">
        <v>100</v>
      </c>
      <c r="F61" s="9"/>
      <c r="G61" s="9"/>
      <c r="H61" s="7">
        <f t="shared" si="9"/>
        <v>100</v>
      </c>
    </row>
    <row r="62" spans="2:8" x14ac:dyDescent="0.25">
      <c r="B62" s="8" t="s">
        <v>55</v>
      </c>
      <c r="C62" s="9"/>
      <c r="D62" s="9"/>
      <c r="E62" s="9">
        <v>150</v>
      </c>
      <c r="F62" s="9"/>
      <c r="G62" s="9"/>
      <c r="H62" s="7">
        <f t="shared" si="9"/>
        <v>150</v>
      </c>
    </row>
    <row r="63" spans="2:8" x14ac:dyDescent="0.25">
      <c r="B63" s="8" t="s">
        <v>56</v>
      </c>
      <c r="C63" s="9"/>
      <c r="D63" s="9"/>
      <c r="E63" s="9">
        <v>150</v>
      </c>
      <c r="F63" s="9"/>
      <c r="G63" s="9"/>
      <c r="H63" s="7">
        <f t="shared" si="9"/>
        <v>150</v>
      </c>
    </row>
    <row r="64" spans="2:8" x14ac:dyDescent="0.25">
      <c r="B64" s="8" t="s">
        <v>57</v>
      </c>
      <c r="C64" s="9"/>
      <c r="D64" s="9"/>
      <c r="E64" s="9">
        <v>150</v>
      </c>
      <c r="F64" s="9"/>
      <c r="G64" s="9"/>
      <c r="H64" s="7">
        <f t="shared" si="9"/>
        <v>150</v>
      </c>
    </row>
    <row r="65" spans="2:8" x14ac:dyDescent="0.25">
      <c r="B65" s="8" t="s">
        <v>58</v>
      </c>
      <c r="C65" s="9"/>
      <c r="D65" s="9"/>
      <c r="E65" s="9">
        <v>50</v>
      </c>
      <c r="F65" s="9"/>
      <c r="G65" s="9"/>
      <c r="H65" s="7">
        <f t="shared" si="9"/>
        <v>50</v>
      </c>
    </row>
    <row r="66" spans="2:8" ht="15.75" thickBot="1" x14ac:dyDescent="0.3">
      <c r="B66" s="12" t="s">
        <v>59</v>
      </c>
      <c r="C66" s="1"/>
      <c r="D66" s="1"/>
      <c r="E66" s="1">
        <f>76+200</f>
        <v>276</v>
      </c>
      <c r="F66" s="1"/>
      <c r="G66" s="1"/>
      <c r="H66" s="7">
        <f t="shared" si="9"/>
        <v>276</v>
      </c>
    </row>
    <row r="67" spans="2:8" ht="15.75" thickBot="1" x14ac:dyDescent="0.3">
      <c r="B67" s="41" t="s">
        <v>60</v>
      </c>
      <c r="C67" s="42">
        <f>SUM(C68:C91)</f>
        <v>20650</v>
      </c>
      <c r="D67" s="42">
        <f>SUM(D68:D91)</f>
        <v>120</v>
      </c>
      <c r="E67" s="42">
        <f>SUM(E68:E91)</f>
        <v>10794</v>
      </c>
      <c r="F67" s="42"/>
      <c r="G67" s="42"/>
      <c r="H67" s="44">
        <f>SUM(H68:H91)</f>
        <v>31564</v>
      </c>
    </row>
    <row r="68" spans="2:8" x14ac:dyDescent="0.25">
      <c r="B68" s="14" t="s">
        <v>165</v>
      </c>
      <c r="C68" s="7"/>
      <c r="D68" s="7"/>
      <c r="E68" s="7">
        <v>300</v>
      </c>
      <c r="F68" s="64"/>
      <c r="G68" s="64"/>
      <c r="H68" s="2">
        <f t="shared" ref="H68:H91" si="10">SUM(C68:G68)</f>
        <v>300</v>
      </c>
    </row>
    <row r="69" spans="2:8" x14ac:dyDescent="0.25">
      <c r="B69" s="14" t="s">
        <v>61</v>
      </c>
      <c r="C69" s="7"/>
      <c r="D69" s="7"/>
      <c r="E69" s="7">
        <f>300+250+50</f>
        <v>600</v>
      </c>
      <c r="F69" s="64"/>
      <c r="G69" s="64"/>
      <c r="H69" s="2">
        <f t="shared" si="10"/>
        <v>600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73">
        <v>7500</v>
      </c>
      <c r="D72" s="73"/>
      <c r="E72" s="9"/>
      <c r="F72" s="64"/>
      <c r="G72" s="64"/>
      <c r="H72" s="2">
        <f t="shared" si="10"/>
        <v>7500</v>
      </c>
    </row>
    <row r="73" spans="2:8" x14ac:dyDescent="0.25">
      <c r="B73" s="8" t="s">
        <v>65</v>
      </c>
      <c r="C73" s="9"/>
      <c r="D73" s="9"/>
      <c r="E73" s="66">
        <f>200+100+150</f>
        <v>450</v>
      </c>
      <c r="F73" s="96"/>
      <c r="G73" s="64"/>
      <c r="H73" s="2">
        <f t="shared" si="10"/>
        <v>450</v>
      </c>
    </row>
    <row r="74" spans="2:8" x14ac:dyDescent="0.25">
      <c r="B74" s="8" t="s">
        <v>66</v>
      </c>
      <c r="C74" s="102">
        <f>4800-500</f>
        <v>4300</v>
      </c>
      <c r="D74" s="102"/>
      <c r="E74" s="104">
        <f>450+250+550+700</f>
        <v>1950</v>
      </c>
      <c r="F74" s="97"/>
      <c r="G74" s="64"/>
      <c r="H74" s="2">
        <f t="shared" si="10"/>
        <v>6250</v>
      </c>
    </row>
    <row r="75" spans="2:8" x14ac:dyDescent="0.25">
      <c r="B75" s="8" t="s">
        <v>67</v>
      </c>
      <c r="C75" s="9"/>
      <c r="D75" s="9"/>
      <c r="E75" s="9">
        <f>400-150-50</f>
        <v>200</v>
      </c>
      <c r="F75" s="64"/>
      <c r="G75" s="64"/>
      <c r="H75" s="2">
        <f t="shared" si="10"/>
        <v>200</v>
      </c>
    </row>
    <row r="76" spans="2:8" x14ac:dyDescent="0.25">
      <c r="B76" s="8" t="s">
        <v>68</v>
      </c>
      <c r="C76" s="9"/>
      <c r="D76" s="9"/>
      <c r="E76" s="9">
        <f>100-100</f>
        <v>0</v>
      </c>
      <c r="F76" s="64"/>
      <c r="G76" s="64"/>
      <c r="H76" s="2">
        <f t="shared" si="10"/>
        <v>0</v>
      </c>
    </row>
    <row r="77" spans="2:8" x14ac:dyDescent="0.25">
      <c r="B77" s="8" t="s">
        <v>69</v>
      </c>
      <c r="C77" s="9"/>
      <c r="D77" s="9"/>
      <c r="E77" s="9">
        <v>100</v>
      </c>
      <c r="F77" s="64"/>
      <c r="G77" s="64"/>
      <c r="H77" s="2">
        <f t="shared" si="10"/>
        <v>100</v>
      </c>
    </row>
    <row r="78" spans="2:8" x14ac:dyDescent="0.25">
      <c r="B78" s="8" t="s">
        <v>70</v>
      </c>
      <c r="C78" s="9"/>
      <c r="D78" s="9"/>
      <c r="E78" s="9">
        <f>100+100</f>
        <v>200</v>
      </c>
      <c r="F78" s="64"/>
      <c r="G78" s="64"/>
      <c r="H78" s="2">
        <f t="shared" si="10"/>
        <v>200</v>
      </c>
    </row>
    <row r="79" spans="2:8" x14ac:dyDescent="0.25">
      <c r="B79" s="8" t="s">
        <v>71</v>
      </c>
      <c r="C79" s="9"/>
      <c r="D79" s="9"/>
      <c r="E79" s="9">
        <v>100</v>
      </c>
      <c r="F79" s="64"/>
      <c r="G79" s="64"/>
      <c r="H79" s="2">
        <f t="shared" si="10"/>
        <v>100</v>
      </c>
    </row>
    <row r="80" spans="2:8" x14ac:dyDescent="0.25">
      <c r="B80" s="8" t="s">
        <v>72</v>
      </c>
      <c r="C80" s="9">
        <f>200-50</f>
        <v>150</v>
      </c>
      <c r="D80" s="9"/>
      <c r="E80" s="9"/>
      <c r="F80" s="64"/>
      <c r="G80" s="64"/>
      <c r="H80" s="2">
        <f t="shared" si="10"/>
        <v>150</v>
      </c>
    </row>
    <row r="81" spans="2:8" x14ac:dyDescent="0.25">
      <c r="B81" s="8" t="s">
        <v>73</v>
      </c>
      <c r="C81" s="9"/>
      <c r="D81" s="102">
        <v>60</v>
      </c>
      <c r="E81" s="9">
        <v>600</v>
      </c>
      <c r="F81" s="64"/>
      <c r="G81" s="64"/>
      <c r="H81" s="2">
        <f t="shared" si="10"/>
        <v>660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9">
        <v>1000</v>
      </c>
      <c r="F84" s="64"/>
      <c r="G84" s="64"/>
      <c r="H84" s="2">
        <f t="shared" si="10"/>
        <v>1000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9">
        <v>5200</v>
      </c>
      <c r="D88" s="9"/>
      <c r="E88" s="9"/>
      <c r="F88" s="64"/>
      <c r="G88" s="64"/>
      <c r="H88" s="2">
        <f t="shared" si="10"/>
        <v>5200</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14">
        <v>60</v>
      </c>
      <c r="E91" s="1">
        <f>1800-280+100</f>
        <v>1620</v>
      </c>
      <c r="F91" s="37"/>
      <c r="G91" s="37"/>
      <c r="H91" s="2">
        <f t="shared" si="10"/>
        <v>1680</v>
      </c>
    </row>
    <row r="92" spans="2:8" ht="15.75" thickBot="1" x14ac:dyDescent="0.3">
      <c r="B92" s="41" t="s">
        <v>84</v>
      </c>
      <c r="C92" s="45">
        <f>SUM(C93:C98)</f>
        <v>1650</v>
      </c>
      <c r="D92" s="45"/>
      <c r="E92" s="45">
        <f t="shared" ref="E92:G92" si="11">SUM(E93:E98)</f>
        <v>7900</v>
      </c>
      <c r="F92" s="45"/>
      <c r="G92" s="45">
        <f t="shared" si="11"/>
        <v>0</v>
      </c>
      <c r="H92" s="45">
        <f>SUM(H93:H98)</f>
        <v>9550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9">
        <f>2000+800+1000</f>
        <v>3800</v>
      </c>
      <c r="F95" s="64"/>
      <c r="G95" s="64"/>
      <c r="H95" s="9">
        <f t="shared" si="12"/>
        <v>3800</v>
      </c>
    </row>
    <row r="96" spans="2:8" x14ac:dyDescent="0.25">
      <c r="B96" s="8" t="s">
        <v>87</v>
      </c>
      <c r="C96" s="9">
        <v>1000</v>
      </c>
      <c r="D96" s="9"/>
      <c r="E96" s="9">
        <f>200+300+500</f>
        <v>1000</v>
      </c>
      <c r="F96" s="64"/>
      <c r="G96" s="64"/>
      <c r="H96" s="9">
        <f t="shared" si="12"/>
        <v>2000</v>
      </c>
    </row>
    <row r="97" spans="2:8" x14ac:dyDescent="0.25">
      <c r="B97" s="8" t="s">
        <v>88</v>
      </c>
      <c r="C97" s="9"/>
      <c r="D97" s="9"/>
      <c r="E97" s="9">
        <v>50</v>
      </c>
      <c r="F97" s="64"/>
      <c r="G97" s="64"/>
      <c r="H97" s="9">
        <f t="shared" si="12"/>
        <v>50</v>
      </c>
    </row>
    <row r="98" spans="2:8" ht="15.75" thickBot="1" x14ac:dyDescent="0.3">
      <c r="B98" s="12" t="s">
        <v>89</v>
      </c>
      <c r="C98" s="1"/>
      <c r="D98" s="1"/>
      <c r="E98" s="74">
        <f>3500-500</f>
        <v>3000</v>
      </c>
      <c r="F98" s="98"/>
      <c r="G98" s="37"/>
      <c r="H98" s="2">
        <f t="shared" si="12"/>
        <v>3000</v>
      </c>
    </row>
    <row r="99" spans="2:8" ht="15.75" thickBot="1" x14ac:dyDescent="0.3">
      <c r="B99" s="41" t="s">
        <v>90</v>
      </c>
      <c r="C99" s="45">
        <f>SUM(C100:C123)</f>
        <v>24260</v>
      </c>
      <c r="D99" s="45"/>
      <c r="E99" s="45">
        <f t="shared" ref="E99:H99" si="13">SUM(E100:E123)</f>
        <v>1860</v>
      </c>
      <c r="F99" s="45">
        <f>SUM(F100:F123)</f>
        <v>500</v>
      </c>
      <c r="G99" s="45">
        <f t="shared" si="13"/>
        <v>0</v>
      </c>
      <c r="H99" s="45">
        <f t="shared" si="13"/>
        <v>26620</v>
      </c>
    </row>
    <row r="100" spans="2:8" x14ac:dyDescent="0.25">
      <c r="B100" s="6" t="s">
        <v>91</v>
      </c>
      <c r="C100" s="75">
        <v>800</v>
      </c>
      <c r="D100" s="75"/>
      <c r="E100" s="7"/>
      <c r="F100" s="7"/>
      <c r="G100" s="7"/>
      <c r="H100" s="9">
        <f>SUM(C100:G100)</f>
        <v>800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73">
        <v>200</v>
      </c>
      <c r="D103" s="73"/>
      <c r="E103" s="9"/>
      <c r="F103" s="9"/>
      <c r="G103" s="9"/>
      <c r="H103" s="9">
        <f t="shared" si="14"/>
        <v>200</v>
      </c>
    </row>
    <row r="104" spans="2:8" x14ac:dyDescent="0.25">
      <c r="B104" s="8" t="s">
        <v>94</v>
      </c>
      <c r="C104" s="73">
        <v>800</v>
      </c>
      <c r="D104" s="73"/>
      <c r="E104" s="9"/>
      <c r="F104" s="9"/>
      <c r="G104" s="9"/>
      <c r="H104" s="9">
        <f t="shared" si="14"/>
        <v>800</v>
      </c>
    </row>
    <row r="105" spans="2:8" x14ac:dyDescent="0.25">
      <c r="B105" s="8" t="s">
        <v>95</v>
      </c>
      <c r="C105" s="73">
        <v>300</v>
      </c>
      <c r="D105" s="73"/>
      <c r="E105" s="9"/>
      <c r="F105" s="9"/>
      <c r="G105" s="9"/>
      <c r="H105" s="9">
        <f t="shared" si="14"/>
        <v>300</v>
      </c>
    </row>
    <row r="106" spans="2:8" x14ac:dyDescent="0.25">
      <c r="B106" s="8" t="s">
        <v>96</v>
      </c>
      <c r="C106" s="73">
        <v>1250</v>
      </c>
      <c r="D106" s="73"/>
      <c r="E106" s="9">
        <v>10</v>
      </c>
      <c r="F106" s="9"/>
      <c r="G106" s="9"/>
      <c r="H106" s="9">
        <f t="shared" si="14"/>
        <v>1260</v>
      </c>
    </row>
    <row r="107" spans="2:8" x14ac:dyDescent="0.25">
      <c r="B107" s="8" t="s">
        <v>160</v>
      </c>
      <c r="C107" s="73">
        <v>0</v>
      </c>
      <c r="D107" s="73"/>
      <c r="E107" s="9"/>
      <c r="F107" s="9"/>
      <c r="G107" s="9"/>
      <c r="H107" s="9">
        <f t="shared" si="14"/>
        <v>0</v>
      </c>
    </row>
    <row r="108" spans="2:8" x14ac:dyDescent="0.25">
      <c r="B108" s="8" t="s">
        <v>97</v>
      </c>
      <c r="C108" s="73">
        <v>1200</v>
      </c>
      <c r="D108" s="73"/>
      <c r="E108" s="9"/>
      <c r="F108" s="9"/>
      <c r="G108" s="9"/>
      <c r="H108" s="9">
        <f t="shared" si="14"/>
        <v>1200</v>
      </c>
    </row>
    <row r="109" spans="2:8" x14ac:dyDescent="0.25">
      <c r="B109" s="8" t="s">
        <v>98</v>
      </c>
      <c r="C109" s="73">
        <v>1200</v>
      </c>
      <c r="D109" s="73"/>
      <c r="E109" s="9"/>
      <c r="F109" s="9"/>
      <c r="G109" s="9"/>
      <c r="H109" s="9">
        <f t="shared" si="14"/>
        <v>1200</v>
      </c>
    </row>
    <row r="110" spans="2:8" x14ac:dyDescent="0.25">
      <c r="B110" s="8" t="s">
        <v>99</v>
      </c>
      <c r="C110" s="9">
        <v>5000</v>
      </c>
      <c r="D110" s="9"/>
      <c r="E110" s="9"/>
      <c r="F110" s="9"/>
      <c r="G110" s="9"/>
      <c r="H110" s="9">
        <f t="shared" si="14"/>
        <v>5000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73">
        <v>900</v>
      </c>
      <c r="D113" s="73"/>
      <c r="E113" s="9"/>
      <c r="F113" s="9"/>
      <c r="G113" s="9"/>
      <c r="H113" s="9">
        <f t="shared" si="14"/>
        <v>900</v>
      </c>
    </row>
    <row r="114" spans="2:12" x14ac:dyDescent="0.25">
      <c r="B114" s="8" t="s">
        <v>102</v>
      </c>
      <c r="C114" s="73">
        <v>1200</v>
      </c>
      <c r="D114" s="73"/>
      <c r="E114" s="9"/>
      <c r="F114" s="9"/>
      <c r="G114" s="9"/>
      <c r="H114" s="9">
        <f t="shared" si="14"/>
        <v>1200</v>
      </c>
    </row>
    <row r="115" spans="2:12" x14ac:dyDescent="0.25">
      <c r="B115" s="8" t="s">
        <v>103</v>
      </c>
      <c r="C115" s="73">
        <v>100</v>
      </c>
      <c r="D115" s="73"/>
      <c r="E115" s="9"/>
      <c r="F115" s="9"/>
      <c r="G115" s="9"/>
      <c r="H115" s="9">
        <f t="shared" si="14"/>
        <v>100</v>
      </c>
    </row>
    <row r="116" spans="2:12" x14ac:dyDescent="0.25">
      <c r="B116" s="8" t="s">
        <v>104</v>
      </c>
      <c r="C116" s="9">
        <v>500</v>
      </c>
      <c r="D116" s="9"/>
      <c r="E116" s="9">
        <f>500+50</f>
        <v>550</v>
      </c>
      <c r="F116" s="9"/>
      <c r="G116" s="9"/>
      <c r="H116" s="9">
        <f t="shared" si="14"/>
        <v>1050</v>
      </c>
    </row>
    <row r="117" spans="2:12" x14ac:dyDescent="0.25">
      <c r="B117" s="8" t="s">
        <v>105</v>
      </c>
      <c r="C117" s="73">
        <v>200</v>
      </c>
      <c r="D117" s="73"/>
      <c r="E117" s="9"/>
      <c r="F117" s="9"/>
      <c r="G117" s="9"/>
      <c r="H117" s="9">
        <f t="shared" si="14"/>
        <v>200</v>
      </c>
    </row>
    <row r="118" spans="2:12" x14ac:dyDescent="0.25">
      <c r="B118" s="8" t="s">
        <v>106</v>
      </c>
      <c r="C118" s="73">
        <v>1200</v>
      </c>
      <c r="D118" s="73"/>
      <c r="E118" s="9"/>
      <c r="F118" s="9"/>
      <c r="G118" s="9"/>
      <c r="H118" s="9">
        <f t="shared" si="14"/>
        <v>1200</v>
      </c>
    </row>
    <row r="119" spans="2:12" x14ac:dyDescent="0.25">
      <c r="B119" s="8" t="s">
        <v>107</v>
      </c>
      <c r="C119" s="104">
        <f>4100-100</f>
        <v>4000</v>
      </c>
      <c r="D119" s="104"/>
      <c r="E119" s="9"/>
      <c r="F119" s="9">
        <v>500</v>
      </c>
      <c r="G119" s="9"/>
      <c r="H119" s="9">
        <f t="shared" si="14"/>
        <v>4500</v>
      </c>
    </row>
    <row r="120" spans="2:12" x14ac:dyDescent="0.25">
      <c r="B120" s="23" t="s">
        <v>108</v>
      </c>
      <c r="C120" s="102">
        <f>1850+340+258+64+120-250-300-82+220-100</f>
        <v>2120</v>
      </c>
      <c r="D120" s="102"/>
      <c r="E120" s="9"/>
      <c r="F120" s="9"/>
      <c r="G120" s="9"/>
      <c r="H120" s="9">
        <f t="shared" si="14"/>
        <v>2120</v>
      </c>
    </row>
    <row r="121" spans="2:12" x14ac:dyDescent="0.25">
      <c r="B121" s="8" t="s">
        <v>109</v>
      </c>
      <c r="C121" s="9">
        <v>900</v>
      </c>
      <c r="D121" s="9"/>
      <c r="E121" s="9"/>
      <c r="F121" s="9"/>
      <c r="G121" s="9"/>
      <c r="H121" s="9">
        <f t="shared" si="14"/>
        <v>900</v>
      </c>
    </row>
    <row r="122" spans="2:12" x14ac:dyDescent="0.25">
      <c r="B122" s="8" t="s">
        <v>110</v>
      </c>
      <c r="C122" s="9"/>
      <c r="D122" s="9"/>
      <c r="E122" s="9">
        <v>1200</v>
      </c>
      <c r="F122" s="9"/>
      <c r="G122" s="9"/>
      <c r="H122" s="9">
        <f t="shared" si="14"/>
        <v>1200</v>
      </c>
      <c r="L122" s="56"/>
    </row>
    <row r="123" spans="2:12" ht="15.75" thickBot="1" x14ac:dyDescent="0.3">
      <c r="B123" s="12" t="s">
        <v>111</v>
      </c>
      <c r="C123" s="36">
        <v>900</v>
      </c>
      <c r="D123" s="36"/>
      <c r="E123" s="1"/>
      <c r="F123" s="1"/>
      <c r="G123" s="36"/>
      <c r="H123" s="9">
        <f t="shared" si="14"/>
        <v>900</v>
      </c>
    </row>
    <row r="124" spans="2:12" ht="15.75" thickBot="1" x14ac:dyDescent="0.3">
      <c r="B124" s="41" t="s">
        <v>112</v>
      </c>
      <c r="C124" s="45">
        <f>SUM(C125:C145)</f>
        <v>188632</v>
      </c>
      <c r="D124" s="45"/>
      <c r="E124" s="45">
        <f t="shared" ref="E124" si="15">SUM(E125:E145)</f>
        <v>4470</v>
      </c>
      <c r="F124" s="45"/>
      <c r="G124" s="45"/>
      <c r="H124" s="45">
        <f>SUM(H125:H145)</f>
        <v>193102</v>
      </c>
      <c r="L124" s="56"/>
    </row>
    <row r="125" spans="2:12" x14ac:dyDescent="0.25">
      <c r="B125" s="6" t="s">
        <v>113</v>
      </c>
      <c r="C125" s="7">
        <v>5700</v>
      </c>
      <c r="D125" s="7"/>
      <c r="E125" s="7">
        <v>150</v>
      </c>
      <c r="F125" s="7"/>
      <c r="G125" s="7"/>
      <c r="H125" s="9">
        <f>SUM(C125:G125)</f>
        <v>5850</v>
      </c>
    </row>
    <row r="126" spans="2:12" x14ac:dyDescent="0.25">
      <c r="B126" s="8" t="s">
        <v>114</v>
      </c>
      <c r="C126" s="73">
        <v>350</v>
      </c>
      <c r="D126" s="73"/>
      <c r="E126" s="9"/>
      <c r="F126" s="9"/>
      <c r="G126" s="9"/>
      <c r="H126" s="9">
        <f t="shared" ref="H126:H145" si="16">SUM(C126:G126)</f>
        <v>350</v>
      </c>
    </row>
    <row r="127" spans="2:12" x14ac:dyDescent="0.25">
      <c r="B127" s="8" t="s">
        <v>162</v>
      </c>
      <c r="C127" s="73">
        <v>100</v>
      </c>
      <c r="D127" s="73"/>
      <c r="E127" s="9"/>
      <c r="F127" s="9"/>
      <c r="G127" s="9"/>
      <c r="H127" s="9">
        <f t="shared" si="16"/>
        <v>100</v>
      </c>
    </row>
    <row r="128" spans="2:12" x14ac:dyDescent="0.25">
      <c r="B128" s="8" t="s">
        <v>115</v>
      </c>
      <c r="C128" s="73">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104">
        <f>8500+1500+72+965</f>
        <v>11037</v>
      </c>
      <c r="D132" s="104"/>
      <c r="E132" s="9"/>
      <c r="F132" s="9"/>
      <c r="G132" s="9"/>
      <c r="H132" s="9">
        <f t="shared" si="16"/>
        <v>11037</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104">
        <f>21800+5000+5700</f>
        <v>32500</v>
      </c>
      <c r="D135" s="104"/>
      <c r="E135" s="9">
        <f>1000-200</f>
        <v>800</v>
      </c>
      <c r="F135" s="9"/>
      <c r="G135" s="9"/>
      <c r="H135" s="9">
        <f t="shared" si="16"/>
        <v>33300</v>
      </c>
    </row>
    <row r="136" spans="2:8" x14ac:dyDescent="0.25">
      <c r="B136" s="8" t="s">
        <v>122</v>
      </c>
      <c r="C136" s="108">
        <f>53648+7892</f>
        <v>61540</v>
      </c>
      <c r="D136" s="108"/>
      <c r="E136" s="9">
        <f>1000-200</f>
        <v>800</v>
      </c>
      <c r="F136" s="9"/>
      <c r="G136" s="66"/>
      <c r="H136" s="9">
        <f t="shared" si="16"/>
        <v>62340</v>
      </c>
    </row>
    <row r="137" spans="2:8" x14ac:dyDescent="0.25">
      <c r="B137" s="8" t="s">
        <v>158</v>
      </c>
      <c r="C137" s="66">
        <f>33077+3200+29000</f>
        <v>65277</v>
      </c>
      <c r="D137" s="66"/>
      <c r="E137" s="9">
        <v>500</v>
      </c>
      <c r="F137" s="9"/>
      <c r="G137" s="9"/>
      <c r="H137" s="9">
        <f t="shared" si="16"/>
        <v>65777</v>
      </c>
    </row>
    <row r="138" spans="2:8" x14ac:dyDescent="0.25">
      <c r="B138" s="8" t="s">
        <v>123</v>
      </c>
      <c r="C138" s="90">
        <v>1200</v>
      </c>
      <c r="D138" s="90"/>
      <c r="E138" s="90">
        <f>1000-500</f>
        <v>500</v>
      </c>
      <c r="F138" s="90"/>
      <c r="G138" s="13"/>
      <c r="H138" s="9">
        <f t="shared" si="16"/>
        <v>1700</v>
      </c>
    </row>
    <row r="139" spans="2:8" x14ac:dyDescent="0.25">
      <c r="B139" s="8" t="s">
        <v>124</v>
      </c>
      <c r="C139" s="9">
        <v>3100</v>
      </c>
      <c r="D139" s="9"/>
      <c r="E139" s="9"/>
      <c r="F139" s="9"/>
      <c r="G139" s="9"/>
      <c r="H139" s="9">
        <f t="shared" si="16"/>
        <v>3100</v>
      </c>
    </row>
    <row r="140" spans="2:8" x14ac:dyDescent="0.25">
      <c r="B140" s="8" t="s">
        <v>125</v>
      </c>
      <c r="C140" s="9">
        <v>1800</v>
      </c>
      <c r="D140" s="9"/>
      <c r="E140" s="9"/>
      <c r="F140" s="9"/>
      <c r="G140" s="9"/>
      <c r="H140" s="9">
        <f t="shared" si="16"/>
        <v>1800</v>
      </c>
    </row>
    <row r="141" spans="2:8" x14ac:dyDescent="0.25">
      <c r="B141" s="8" t="s">
        <v>164</v>
      </c>
      <c r="C141" s="102">
        <f>166-38</f>
        <v>128</v>
      </c>
      <c r="D141" s="102"/>
      <c r="E141" s="9"/>
      <c r="F141" s="9"/>
      <c r="G141" s="9"/>
      <c r="H141" s="9">
        <f t="shared" si="16"/>
        <v>128</v>
      </c>
    </row>
    <row r="142" spans="2:8" x14ac:dyDescent="0.25">
      <c r="B142" s="8" t="s">
        <v>126</v>
      </c>
      <c r="C142" s="9">
        <v>1200</v>
      </c>
      <c r="D142" s="9"/>
      <c r="E142" s="9">
        <v>100</v>
      </c>
      <c r="F142" s="9"/>
      <c r="G142" s="9"/>
      <c r="H142" s="9">
        <f t="shared" si="16"/>
        <v>1300</v>
      </c>
    </row>
    <row r="143" spans="2:8" x14ac:dyDescent="0.25">
      <c r="B143" s="8" t="s">
        <v>127</v>
      </c>
      <c r="C143" s="9">
        <v>1600</v>
      </c>
      <c r="D143" s="9"/>
      <c r="E143" s="9"/>
      <c r="F143" s="9"/>
      <c r="G143" s="9"/>
      <c r="H143" s="9">
        <f t="shared" si="16"/>
        <v>1600</v>
      </c>
    </row>
    <row r="144" spans="2:8" x14ac:dyDescent="0.25">
      <c r="B144" s="8" t="s">
        <v>128</v>
      </c>
      <c r="C144" s="66">
        <f>400-100</f>
        <v>300</v>
      </c>
      <c r="D144" s="66"/>
      <c r="E144" s="9">
        <v>100</v>
      </c>
      <c r="F144" s="9"/>
      <c r="G144" s="9"/>
      <c r="H144" s="9">
        <f>SUM(C144:G144)</f>
        <v>400</v>
      </c>
    </row>
    <row r="145" spans="2:8" ht="15.75" thickBot="1" x14ac:dyDescent="0.3">
      <c r="B145" s="17" t="s">
        <v>129</v>
      </c>
      <c r="C145" s="1"/>
      <c r="D145" s="1"/>
      <c r="E145" s="1">
        <f>600+200</f>
        <v>800</v>
      </c>
      <c r="F145" s="1"/>
      <c r="G145" s="1"/>
      <c r="H145" s="9">
        <f t="shared" si="16"/>
        <v>800</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80">
        <f>1500+1500</f>
        <v>3000</v>
      </c>
      <c r="F147" s="100"/>
      <c r="G147" s="81"/>
      <c r="H147" s="72">
        <f t="shared" ref="H147" si="17">SUM(C147:G147)</f>
        <v>3000</v>
      </c>
    </row>
    <row r="148" spans="2:8" ht="15.75" thickBot="1" x14ac:dyDescent="0.3">
      <c r="B148" s="47" t="s">
        <v>151</v>
      </c>
      <c r="C148" s="65">
        <f>SUM(C149:C152)</f>
        <v>2000</v>
      </c>
      <c r="D148" s="65"/>
      <c r="E148" s="83">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43">
        <f>200+400+100</f>
        <v>700</v>
      </c>
      <c r="F154" s="43"/>
      <c r="G154" s="82"/>
      <c r="H154" s="44">
        <f>SUM(C154:E154)</f>
        <v>700</v>
      </c>
    </row>
    <row r="155" spans="2:8" ht="16.5" thickBot="1" x14ac:dyDescent="0.3">
      <c r="B155" s="29" t="s">
        <v>136</v>
      </c>
      <c r="C155" s="30">
        <f>SUM(C19,C20,C21,C29,C32,C57,C67,C92,C99,C124,C146,C147,C148,C153,C154,C22)</f>
        <v>2717103</v>
      </c>
      <c r="D155" s="30">
        <f>SUM(D19,D20,D21,D29,D32,D57,D67,D92,D99,D124,D146,D147,D148,D153,D154,D22)</f>
        <v>200</v>
      </c>
      <c r="E155" s="30">
        <f>SUM(E19,E20,E21,E29,E32,E57,E67,E92,E99,E124,E146,E147,E148,E153,E154,E22)</f>
        <v>70340</v>
      </c>
      <c r="F155" s="30">
        <f>SUM(F19,F20,F21,F29,F32,F57,F67,F92,F99,F124,F146,F147,F148,F153,F154,F22)</f>
        <v>500</v>
      </c>
      <c r="G155" s="30">
        <f>SUM(G19,G20,G21,G29,G32,G57,G67,G92,G99,G124,G146,G147,G148,G153,G154,G22)</f>
        <v>288</v>
      </c>
      <c r="H155" s="30">
        <f>SUM(H19,H20,H21,H22,H29,H32,H57,H67,H92,H99,H124,H146,H147,H148,H153,H154)</f>
        <v>2788431</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20"/>
      <c r="E158" s="9"/>
      <c r="F158" s="64"/>
      <c r="G158" s="77"/>
      <c r="H158" s="2">
        <f t="shared" si="20"/>
        <v>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106">
        <v>4000</v>
      </c>
      <c r="G161" s="77"/>
      <c r="H161" s="2">
        <f t="shared" si="20"/>
        <v>4000</v>
      </c>
    </row>
    <row r="162" spans="1:12" x14ac:dyDescent="0.25">
      <c r="B162" s="21" t="s">
        <v>140</v>
      </c>
      <c r="C162" s="20"/>
      <c r="D162" s="112">
        <v>23084</v>
      </c>
      <c r="E162" s="9">
        <f>200-100-50</f>
        <v>50</v>
      </c>
      <c r="F162" s="64"/>
      <c r="G162" s="77"/>
      <c r="H162" s="2">
        <f t="shared" si="20"/>
        <v>23134</v>
      </c>
    </row>
    <row r="163" spans="1:12" x14ac:dyDescent="0.25">
      <c r="B163" s="19" t="s">
        <v>141</v>
      </c>
      <c r="C163" s="20"/>
      <c r="D163" s="112">
        <v>34727</v>
      </c>
      <c r="E163" s="9">
        <f>600-200</f>
        <v>400</v>
      </c>
      <c r="F163" s="64"/>
      <c r="G163" s="77"/>
      <c r="H163" s="2">
        <f t="shared" si="20"/>
        <v>35127</v>
      </c>
    </row>
    <row r="164" spans="1:12" x14ac:dyDescent="0.25">
      <c r="B164" s="21" t="s">
        <v>142</v>
      </c>
      <c r="C164" s="20"/>
      <c r="D164" s="112">
        <v>500</v>
      </c>
      <c r="E164" s="9">
        <f>400+200+150+100+200+20+100+50</f>
        <v>1220</v>
      </c>
      <c r="F164" s="64">
        <v>729</v>
      </c>
      <c r="G164" s="77"/>
      <c r="H164" s="2">
        <f t="shared" si="20"/>
        <v>2449</v>
      </c>
      <c r="K164" s="56"/>
    </row>
    <row r="165" spans="1:12" x14ac:dyDescent="0.25">
      <c r="B165" s="21" t="s">
        <v>176</v>
      </c>
      <c r="C165" s="20"/>
      <c r="D165" s="112"/>
      <c r="E165" s="9">
        <v>15</v>
      </c>
      <c r="F165" s="64"/>
      <c r="G165" s="77"/>
      <c r="H165" s="2">
        <f t="shared" si="20"/>
        <v>15</v>
      </c>
    </row>
    <row r="166" spans="1:12" x14ac:dyDescent="0.25">
      <c r="B166" s="19" t="s">
        <v>143</v>
      </c>
      <c r="C166" s="20"/>
      <c r="D166" s="112"/>
      <c r="E166" s="9">
        <f>300-150</f>
        <v>150</v>
      </c>
      <c r="F166" s="64"/>
      <c r="G166" s="77"/>
      <c r="H166" s="2">
        <f t="shared" si="20"/>
        <v>150</v>
      </c>
    </row>
    <row r="167" spans="1:12" x14ac:dyDescent="0.25">
      <c r="B167" s="22" t="s">
        <v>144</v>
      </c>
      <c r="C167" s="20"/>
      <c r="D167" s="112">
        <v>22200</v>
      </c>
      <c r="E167" s="102">
        <v>500</v>
      </c>
      <c r="F167" s="64"/>
      <c r="G167" s="77"/>
      <c r="H167" s="2">
        <f t="shared" si="20"/>
        <v>22700</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80511</v>
      </c>
      <c r="E171" s="30">
        <f>SUM(E156:E170)</f>
        <v>2485</v>
      </c>
      <c r="F171" s="30">
        <f t="shared" si="21"/>
        <v>4729</v>
      </c>
      <c r="G171" s="30">
        <f t="shared" si="21"/>
        <v>2797</v>
      </c>
      <c r="H171" s="30">
        <f t="shared" si="21"/>
        <v>90522</v>
      </c>
    </row>
    <row r="172" spans="1:12" ht="16.5" customHeight="1" thickBot="1" x14ac:dyDescent="0.3">
      <c r="B172" s="34" t="s">
        <v>148</v>
      </c>
      <c r="C172" s="35">
        <f t="shared" ref="C172:G172" si="22">C155+C171</f>
        <v>2717103</v>
      </c>
      <c r="D172" s="35">
        <f t="shared" si="22"/>
        <v>80711</v>
      </c>
      <c r="E172" s="35">
        <f t="shared" si="22"/>
        <v>72825</v>
      </c>
      <c r="F172" s="35">
        <f>F155+F171</f>
        <v>5229</v>
      </c>
      <c r="G172" s="35">
        <f t="shared" si="22"/>
        <v>3085</v>
      </c>
      <c r="H172" s="35">
        <f>H155+H171</f>
        <v>2878953</v>
      </c>
      <c r="L172" s="56"/>
    </row>
    <row r="173" spans="1:12" ht="189" customHeight="1" x14ac:dyDescent="0.25">
      <c r="A173" s="89"/>
      <c r="B173" s="146" t="s">
        <v>201</v>
      </c>
      <c r="C173" s="146"/>
      <c r="D173" s="146"/>
      <c r="E173" s="146"/>
      <c r="F173" s="146"/>
      <c r="G173" s="146"/>
      <c r="H173" s="146"/>
    </row>
    <row r="174" spans="1:12" ht="21" customHeight="1" x14ac:dyDescent="0.25">
      <c r="E174" s="147" t="s">
        <v>179</v>
      </c>
      <c r="F174" s="147"/>
      <c r="G174" s="147"/>
      <c r="H174" s="147"/>
    </row>
    <row r="175" spans="1:12" ht="1.5" customHeight="1" x14ac:dyDescent="0.25">
      <c r="E175" s="147" t="s">
        <v>180</v>
      </c>
      <c r="F175" s="147"/>
      <c r="G175" s="147"/>
      <c r="H175" s="147"/>
    </row>
    <row r="176" spans="1:12" hidden="1" x14ac:dyDescent="0.25">
      <c r="C176" s="56"/>
      <c r="D176" s="56"/>
      <c r="E176" s="147"/>
      <c r="F176" s="147"/>
      <c r="G176" s="147"/>
      <c r="H176" s="147"/>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5"/>
  <sheetViews>
    <sheetView topLeftCell="A148" zoomScale="110" zoomScaleNormal="110" workbookViewId="0">
      <selection activeCell="C170" sqref="C170"/>
    </sheetView>
  </sheetViews>
  <sheetFormatPr defaultRowHeight="15" x14ac:dyDescent="0.25"/>
  <cols>
    <col min="1" max="1" width="54.7109375" customWidth="1"/>
    <col min="2" max="2" width="13.5703125" customWidth="1"/>
    <col min="3" max="3" width="12.7109375" customWidth="1"/>
  </cols>
  <sheetData>
    <row r="2" spans="1:3" x14ac:dyDescent="0.25">
      <c r="A2" s="148" t="s">
        <v>0</v>
      </c>
      <c r="B2" s="148"/>
      <c r="C2" s="148"/>
    </row>
    <row r="3" spans="1:3" x14ac:dyDescent="0.25">
      <c r="A3" s="149" t="s">
        <v>194</v>
      </c>
      <c r="B3" s="149"/>
      <c r="C3" s="149"/>
    </row>
    <row r="4" spans="1:3" ht="15.75" thickBot="1" x14ac:dyDescent="0.3">
      <c r="A4" s="59"/>
      <c r="B4" s="5" t="s">
        <v>1</v>
      </c>
      <c r="C4" s="107"/>
    </row>
    <row r="5" spans="1:3" ht="43.5" thickBot="1" x14ac:dyDescent="0.3">
      <c r="A5" s="24" t="s">
        <v>2</v>
      </c>
      <c r="B5" s="25" t="s">
        <v>5</v>
      </c>
      <c r="C5" s="57" t="s">
        <v>154</v>
      </c>
    </row>
    <row r="6" spans="1:3" ht="15.75" x14ac:dyDescent="0.25">
      <c r="A6" s="26" t="s">
        <v>6</v>
      </c>
      <c r="B6" s="28"/>
      <c r="C6" s="28"/>
    </row>
    <row r="7" spans="1:3" x14ac:dyDescent="0.25">
      <c r="A7" s="6" t="s">
        <v>9</v>
      </c>
      <c r="B7" s="2">
        <v>2681262</v>
      </c>
      <c r="C7" s="67" t="s">
        <v>7</v>
      </c>
    </row>
    <row r="8" spans="1:3" x14ac:dyDescent="0.25">
      <c r="A8" s="8" t="s">
        <v>10</v>
      </c>
      <c r="B8" s="2">
        <v>30703</v>
      </c>
      <c r="C8" s="67" t="s">
        <v>7</v>
      </c>
    </row>
    <row r="9" spans="1:3" x14ac:dyDescent="0.25">
      <c r="A9" s="8" t="s">
        <v>195</v>
      </c>
      <c r="B9" s="2">
        <v>58525</v>
      </c>
      <c r="C9" s="67" t="s">
        <v>8</v>
      </c>
    </row>
    <row r="10" spans="1:3" x14ac:dyDescent="0.25">
      <c r="A10" s="8" t="s">
        <v>169</v>
      </c>
      <c r="B10" s="2">
        <v>11177</v>
      </c>
      <c r="C10" s="67" t="s">
        <v>155</v>
      </c>
    </row>
    <row r="11" spans="1:3" x14ac:dyDescent="0.25">
      <c r="A11" s="8" t="s">
        <v>171</v>
      </c>
      <c r="B11" s="2">
        <v>85440</v>
      </c>
      <c r="C11" s="67" t="s">
        <v>202</v>
      </c>
    </row>
    <row r="12" spans="1:3" x14ac:dyDescent="0.25">
      <c r="A12" s="8" t="s">
        <v>196</v>
      </c>
      <c r="B12" s="2">
        <v>500</v>
      </c>
      <c r="C12" s="67" t="s">
        <v>198</v>
      </c>
    </row>
    <row r="13" spans="1:3" x14ac:dyDescent="0.25">
      <c r="A13" s="53" t="s">
        <v>13</v>
      </c>
      <c r="B13" s="2">
        <v>8261</v>
      </c>
      <c r="C13" s="67" t="s">
        <v>155</v>
      </c>
    </row>
    <row r="14" spans="1:3" ht="15.75" thickBot="1" x14ac:dyDescent="0.3">
      <c r="A14" s="10" t="s">
        <v>172</v>
      </c>
      <c r="B14" s="2">
        <v>3085</v>
      </c>
      <c r="C14" s="67" t="s">
        <v>174</v>
      </c>
    </row>
    <row r="15" spans="1:3" ht="16.5" thickBot="1" x14ac:dyDescent="0.3">
      <c r="A15" s="29" t="s">
        <v>14</v>
      </c>
      <c r="B15" s="30">
        <v>2878953</v>
      </c>
      <c r="C15" s="58"/>
    </row>
    <row r="16" spans="1:3" ht="16.5" thickBot="1" x14ac:dyDescent="0.3">
      <c r="A16" s="3"/>
      <c r="B16" s="11"/>
    </row>
    <row r="17" spans="1:3" ht="43.5" thickBot="1" x14ac:dyDescent="0.3">
      <c r="A17" s="24" t="s">
        <v>15</v>
      </c>
      <c r="B17" s="25" t="s">
        <v>5</v>
      </c>
      <c r="C17" s="51" t="s">
        <v>154</v>
      </c>
    </row>
    <row r="18" spans="1:3" ht="16.5" thickBot="1" x14ac:dyDescent="0.3">
      <c r="A18" s="31" t="s">
        <v>6</v>
      </c>
      <c r="B18" s="28"/>
      <c r="C18" s="32"/>
    </row>
    <row r="19" spans="1:3" ht="15.75" thickBot="1" x14ac:dyDescent="0.3">
      <c r="A19" s="38" t="s">
        <v>16</v>
      </c>
      <c r="B19" s="45">
        <v>2275474</v>
      </c>
      <c r="C19" s="63" t="s">
        <v>188</v>
      </c>
    </row>
    <row r="20" spans="1:3" ht="15.75" thickBot="1" x14ac:dyDescent="0.3">
      <c r="A20" s="39" t="s">
        <v>17</v>
      </c>
      <c r="B20" s="45">
        <v>56699</v>
      </c>
      <c r="C20" s="69" t="s">
        <v>155</v>
      </c>
    </row>
    <row r="21" spans="1:3" ht="15.75" thickBot="1" x14ac:dyDescent="0.3">
      <c r="A21" s="40" t="s">
        <v>18</v>
      </c>
      <c r="B21" s="45">
        <v>1900</v>
      </c>
      <c r="C21" s="67" t="s">
        <v>8</v>
      </c>
    </row>
    <row r="22" spans="1:3" ht="15.75" thickBot="1" x14ac:dyDescent="0.3">
      <c r="A22" s="41" t="s">
        <v>19</v>
      </c>
      <c r="B22" s="45">
        <v>44724</v>
      </c>
      <c r="C22" s="69" t="s">
        <v>155</v>
      </c>
    </row>
    <row r="23" spans="1:3" x14ac:dyDescent="0.25">
      <c r="A23" s="110" t="s">
        <v>177</v>
      </c>
      <c r="B23" s="7">
        <v>104</v>
      </c>
      <c r="C23" s="60" t="s">
        <v>7</v>
      </c>
    </row>
    <row r="24" spans="1:3" x14ac:dyDescent="0.25">
      <c r="A24" s="6" t="s">
        <v>20</v>
      </c>
      <c r="B24" s="7">
        <v>600</v>
      </c>
      <c r="C24" s="60" t="s">
        <v>8</v>
      </c>
    </row>
    <row r="25" spans="1:3" x14ac:dyDescent="0.25">
      <c r="A25" s="8" t="s">
        <v>185</v>
      </c>
      <c r="B25" s="7">
        <v>17750</v>
      </c>
      <c r="C25" s="69" t="s">
        <v>155</v>
      </c>
    </row>
    <row r="26" spans="1:3" x14ac:dyDescent="0.25">
      <c r="A26" s="8" t="s">
        <v>22</v>
      </c>
      <c r="B26" s="7">
        <v>600</v>
      </c>
      <c r="C26" s="60" t="s">
        <v>155</v>
      </c>
    </row>
    <row r="27" spans="1:3" x14ac:dyDescent="0.25">
      <c r="A27" s="12" t="s">
        <v>23</v>
      </c>
      <c r="B27" s="7">
        <v>1500</v>
      </c>
      <c r="C27" s="60" t="s">
        <v>155</v>
      </c>
    </row>
    <row r="28" spans="1:3" ht="15.75" thickBot="1" x14ac:dyDescent="0.3">
      <c r="A28" s="8" t="s">
        <v>167</v>
      </c>
      <c r="B28" s="7">
        <v>24170</v>
      </c>
      <c r="C28" s="60" t="s">
        <v>155</v>
      </c>
    </row>
    <row r="29" spans="1:3" ht="15.75" thickBot="1" x14ac:dyDescent="0.3">
      <c r="A29" s="41" t="s">
        <v>24</v>
      </c>
      <c r="B29" s="45">
        <v>30015</v>
      </c>
      <c r="C29" s="60"/>
    </row>
    <row r="30" spans="1:3" x14ac:dyDescent="0.25">
      <c r="A30" s="10" t="s">
        <v>25</v>
      </c>
      <c r="B30" s="88">
        <v>29705</v>
      </c>
      <c r="C30" s="60" t="s">
        <v>155</v>
      </c>
    </row>
    <row r="31" spans="1:3" x14ac:dyDescent="0.25">
      <c r="A31" s="53" t="s">
        <v>178</v>
      </c>
      <c r="B31" s="9">
        <v>310</v>
      </c>
      <c r="C31" s="70" t="s">
        <v>8</v>
      </c>
    </row>
    <row r="32" spans="1:3" ht="15.75" thickBot="1" x14ac:dyDescent="0.3">
      <c r="A32" s="48" t="s">
        <v>26</v>
      </c>
      <c r="B32" s="86">
        <v>108322</v>
      </c>
      <c r="C32" s="70"/>
    </row>
    <row r="33" spans="1:3" x14ac:dyDescent="0.25">
      <c r="A33" s="71" t="s">
        <v>27</v>
      </c>
      <c r="B33" s="9">
        <v>2300</v>
      </c>
      <c r="C33" s="60" t="s">
        <v>155</v>
      </c>
    </row>
    <row r="34" spans="1:3" x14ac:dyDescent="0.25">
      <c r="A34" s="53" t="s">
        <v>28</v>
      </c>
      <c r="B34" s="9">
        <v>28142</v>
      </c>
      <c r="C34" s="60" t="s">
        <v>155</v>
      </c>
    </row>
    <row r="35" spans="1:3" x14ac:dyDescent="0.25">
      <c r="A35" s="53" t="s">
        <v>29</v>
      </c>
      <c r="B35" s="9">
        <v>14000</v>
      </c>
      <c r="C35" s="60" t="s">
        <v>155</v>
      </c>
    </row>
    <row r="36" spans="1:3" x14ac:dyDescent="0.25">
      <c r="A36" s="53" t="s">
        <v>30</v>
      </c>
      <c r="B36" s="9">
        <v>100</v>
      </c>
      <c r="C36" s="69" t="s">
        <v>7</v>
      </c>
    </row>
    <row r="37" spans="1:3" x14ac:dyDescent="0.25">
      <c r="A37" s="53" t="s">
        <v>31</v>
      </c>
      <c r="B37" s="9">
        <v>25500</v>
      </c>
      <c r="C37" s="69" t="s">
        <v>155</v>
      </c>
    </row>
    <row r="38" spans="1:3" x14ac:dyDescent="0.25">
      <c r="A38" s="53" t="s">
        <v>32</v>
      </c>
      <c r="B38" s="9">
        <v>6460</v>
      </c>
      <c r="C38" s="60" t="s">
        <v>7</v>
      </c>
    </row>
    <row r="39" spans="1:3" x14ac:dyDescent="0.25">
      <c r="A39" s="53" t="s">
        <v>33</v>
      </c>
      <c r="B39" s="9">
        <v>450</v>
      </c>
      <c r="C39" s="60" t="s">
        <v>7</v>
      </c>
    </row>
    <row r="40" spans="1:3" x14ac:dyDescent="0.25">
      <c r="A40" s="53" t="s">
        <v>34</v>
      </c>
      <c r="B40" s="9">
        <v>500</v>
      </c>
      <c r="C40" s="60" t="s">
        <v>7</v>
      </c>
    </row>
    <row r="41" spans="1:3" x14ac:dyDescent="0.25">
      <c r="A41" s="53" t="s">
        <v>35</v>
      </c>
      <c r="B41" s="9">
        <v>5200</v>
      </c>
      <c r="C41" s="60" t="s">
        <v>7</v>
      </c>
    </row>
    <row r="42" spans="1:3" x14ac:dyDescent="0.25">
      <c r="A42" s="53" t="s">
        <v>36</v>
      </c>
      <c r="B42" s="9">
        <v>7200</v>
      </c>
      <c r="C42" s="60" t="s">
        <v>155</v>
      </c>
    </row>
    <row r="43" spans="1:3" x14ac:dyDescent="0.25">
      <c r="A43" s="53" t="s">
        <v>37</v>
      </c>
      <c r="B43" s="9">
        <v>6600</v>
      </c>
      <c r="C43" s="60" t="s">
        <v>7</v>
      </c>
    </row>
    <row r="44" spans="1:3" x14ac:dyDescent="0.25">
      <c r="A44" s="53" t="s">
        <v>38</v>
      </c>
      <c r="B44" s="9">
        <v>2700</v>
      </c>
      <c r="C44" s="60" t="s">
        <v>7</v>
      </c>
    </row>
    <row r="45" spans="1:3" x14ac:dyDescent="0.25">
      <c r="A45" s="53" t="s">
        <v>39</v>
      </c>
      <c r="B45" s="9">
        <v>1500</v>
      </c>
      <c r="C45" s="60" t="s">
        <v>7</v>
      </c>
    </row>
    <row r="46" spans="1:3" x14ac:dyDescent="0.25">
      <c r="A46" s="53" t="s">
        <v>40</v>
      </c>
      <c r="B46" s="9">
        <v>0</v>
      </c>
      <c r="C46" s="60"/>
    </row>
    <row r="47" spans="1:3" x14ac:dyDescent="0.25">
      <c r="A47" s="53" t="s">
        <v>41</v>
      </c>
      <c r="B47" s="9">
        <v>650</v>
      </c>
      <c r="C47" s="60" t="s">
        <v>155</v>
      </c>
    </row>
    <row r="48" spans="1:3" x14ac:dyDescent="0.25">
      <c r="A48" s="53" t="s">
        <v>42</v>
      </c>
      <c r="B48" s="9">
        <v>350</v>
      </c>
      <c r="C48" s="60" t="s">
        <v>7</v>
      </c>
    </row>
    <row r="49" spans="1:3" x14ac:dyDescent="0.25">
      <c r="A49" s="53" t="s">
        <v>43</v>
      </c>
      <c r="B49" s="9">
        <v>550</v>
      </c>
      <c r="C49" s="60" t="s">
        <v>7</v>
      </c>
    </row>
    <row r="50" spans="1:3" x14ac:dyDescent="0.25">
      <c r="A50" s="53" t="s">
        <v>44</v>
      </c>
      <c r="B50" s="9">
        <v>3800</v>
      </c>
      <c r="C50" s="60" t="s">
        <v>7</v>
      </c>
    </row>
    <row r="51" spans="1:3" x14ac:dyDescent="0.25">
      <c r="A51" s="53" t="s">
        <v>45</v>
      </c>
      <c r="B51" s="9">
        <v>1200</v>
      </c>
      <c r="C51" s="60" t="s">
        <v>7</v>
      </c>
    </row>
    <row r="52" spans="1:3" x14ac:dyDescent="0.25">
      <c r="A52" s="53" t="s">
        <v>46</v>
      </c>
      <c r="B52" s="9">
        <v>280</v>
      </c>
      <c r="C52" s="60" t="s">
        <v>8</v>
      </c>
    </row>
    <row r="53" spans="1:3" x14ac:dyDescent="0.25">
      <c r="A53" s="53" t="s">
        <v>153</v>
      </c>
      <c r="B53" s="9">
        <v>140</v>
      </c>
      <c r="C53" s="60" t="s">
        <v>8</v>
      </c>
    </row>
    <row r="54" spans="1:3" x14ac:dyDescent="0.25">
      <c r="A54" s="53" t="s">
        <v>47</v>
      </c>
      <c r="B54" s="9">
        <v>0</v>
      </c>
      <c r="C54" s="60"/>
    </row>
    <row r="55" spans="1:3" x14ac:dyDescent="0.25">
      <c r="A55" s="54" t="s">
        <v>48</v>
      </c>
      <c r="B55" s="9">
        <v>230</v>
      </c>
      <c r="C55" s="60" t="s">
        <v>8</v>
      </c>
    </row>
    <row r="56" spans="1:3" ht="15.75" thickBot="1" x14ac:dyDescent="0.3">
      <c r="A56" s="17" t="s">
        <v>49</v>
      </c>
      <c r="B56" s="9">
        <v>470</v>
      </c>
      <c r="C56" s="60" t="s">
        <v>8</v>
      </c>
    </row>
    <row r="57" spans="1:3" ht="15.75" thickBot="1" x14ac:dyDescent="0.3">
      <c r="A57" s="46" t="s">
        <v>50</v>
      </c>
      <c r="B57" s="44">
        <v>1276</v>
      </c>
      <c r="C57" s="70"/>
    </row>
    <row r="58" spans="1:3" x14ac:dyDescent="0.25">
      <c r="A58" s="4" t="s">
        <v>51</v>
      </c>
      <c r="B58" s="7">
        <v>0</v>
      </c>
      <c r="C58" s="60"/>
    </row>
    <row r="59" spans="1:3" x14ac:dyDescent="0.25">
      <c r="A59" s="8" t="s">
        <v>52</v>
      </c>
      <c r="B59" s="7">
        <v>150</v>
      </c>
      <c r="C59" s="60" t="s">
        <v>8</v>
      </c>
    </row>
    <row r="60" spans="1:3" x14ac:dyDescent="0.25">
      <c r="A60" s="8" t="s">
        <v>53</v>
      </c>
      <c r="B60" s="7">
        <v>250</v>
      </c>
      <c r="C60" s="60" t="s">
        <v>8</v>
      </c>
    </row>
    <row r="61" spans="1:3" x14ac:dyDescent="0.25">
      <c r="A61" s="8" t="s">
        <v>54</v>
      </c>
      <c r="B61" s="7">
        <v>100</v>
      </c>
      <c r="C61" s="60" t="s">
        <v>8</v>
      </c>
    </row>
    <row r="62" spans="1:3" x14ac:dyDescent="0.25">
      <c r="A62" s="8" t="s">
        <v>55</v>
      </c>
      <c r="B62" s="7">
        <v>150</v>
      </c>
      <c r="C62" s="60" t="s">
        <v>8</v>
      </c>
    </row>
    <row r="63" spans="1:3" x14ac:dyDescent="0.25">
      <c r="A63" s="8" t="s">
        <v>56</v>
      </c>
      <c r="B63" s="7">
        <v>150</v>
      </c>
      <c r="C63" s="60" t="s">
        <v>8</v>
      </c>
    </row>
    <row r="64" spans="1:3" x14ac:dyDescent="0.25">
      <c r="A64" s="8" t="s">
        <v>57</v>
      </c>
      <c r="B64" s="7">
        <v>150</v>
      </c>
      <c r="C64" s="60" t="s">
        <v>8</v>
      </c>
    </row>
    <row r="65" spans="1:3" x14ac:dyDescent="0.25">
      <c r="A65" s="8" t="s">
        <v>58</v>
      </c>
      <c r="B65" s="7">
        <v>50</v>
      </c>
      <c r="C65" s="60" t="s">
        <v>8</v>
      </c>
    </row>
    <row r="66" spans="1:3" ht="15.75" thickBot="1" x14ac:dyDescent="0.3">
      <c r="A66" s="12" t="s">
        <v>59</v>
      </c>
      <c r="B66" s="7">
        <v>276</v>
      </c>
      <c r="C66" s="60" t="s">
        <v>8</v>
      </c>
    </row>
    <row r="67" spans="1:3" ht="15.75" thickBot="1" x14ac:dyDescent="0.3">
      <c r="A67" s="41" t="s">
        <v>60</v>
      </c>
      <c r="B67" s="44">
        <v>31564</v>
      </c>
      <c r="C67" s="60"/>
    </row>
    <row r="68" spans="1:3" x14ac:dyDescent="0.25">
      <c r="A68" s="14" t="s">
        <v>165</v>
      </c>
      <c r="B68" s="2">
        <v>300</v>
      </c>
      <c r="C68" s="60" t="s">
        <v>8</v>
      </c>
    </row>
    <row r="69" spans="1:3" x14ac:dyDescent="0.25">
      <c r="A69" s="14" t="s">
        <v>61</v>
      </c>
      <c r="B69" s="2">
        <v>600</v>
      </c>
      <c r="C69" s="60" t="s">
        <v>8</v>
      </c>
    </row>
    <row r="70" spans="1:3" x14ac:dyDescent="0.25">
      <c r="A70" s="8" t="s">
        <v>62</v>
      </c>
      <c r="B70" s="2">
        <v>480</v>
      </c>
      <c r="C70" s="60" t="s">
        <v>8</v>
      </c>
    </row>
    <row r="71" spans="1:3" x14ac:dyDescent="0.25">
      <c r="A71" s="8" t="s">
        <v>63</v>
      </c>
      <c r="B71" s="2">
        <v>3500</v>
      </c>
      <c r="C71" s="60" t="s">
        <v>7</v>
      </c>
    </row>
    <row r="72" spans="1:3" x14ac:dyDescent="0.25">
      <c r="A72" s="8" t="s">
        <v>64</v>
      </c>
      <c r="B72" s="2">
        <v>7500</v>
      </c>
      <c r="C72" s="60" t="s">
        <v>7</v>
      </c>
    </row>
    <row r="73" spans="1:3" x14ac:dyDescent="0.25">
      <c r="A73" s="8" t="s">
        <v>65</v>
      </c>
      <c r="B73" s="2">
        <v>450</v>
      </c>
      <c r="C73" s="60" t="s">
        <v>8</v>
      </c>
    </row>
    <row r="74" spans="1:3" x14ac:dyDescent="0.25">
      <c r="A74" s="8" t="s">
        <v>66</v>
      </c>
      <c r="B74" s="2">
        <v>6250</v>
      </c>
      <c r="C74" s="60" t="s">
        <v>8</v>
      </c>
    </row>
    <row r="75" spans="1:3" x14ac:dyDescent="0.25">
      <c r="A75" s="8" t="s">
        <v>67</v>
      </c>
      <c r="B75" s="2">
        <v>200</v>
      </c>
      <c r="C75" s="60" t="s">
        <v>8</v>
      </c>
    </row>
    <row r="76" spans="1:3" x14ac:dyDescent="0.25">
      <c r="A76" s="8" t="s">
        <v>68</v>
      </c>
      <c r="B76" s="2">
        <v>0</v>
      </c>
      <c r="C76" s="60" t="s">
        <v>8</v>
      </c>
    </row>
    <row r="77" spans="1:3" x14ac:dyDescent="0.25">
      <c r="A77" s="8" t="s">
        <v>69</v>
      </c>
      <c r="B77" s="2">
        <v>100</v>
      </c>
      <c r="C77" s="60" t="s">
        <v>8</v>
      </c>
    </row>
    <row r="78" spans="1:3" x14ac:dyDescent="0.25">
      <c r="A78" s="8" t="s">
        <v>70</v>
      </c>
      <c r="B78" s="2">
        <v>200</v>
      </c>
      <c r="C78" s="60" t="s">
        <v>8</v>
      </c>
    </row>
    <row r="79" spans="1:3" x14ac:dyDescent="0.25">
      <c r="A79" s="8" t="s">
        <v>71</v>
      </c>
      <c r="B79" s="2">
        <v>100</v>
      </c>
      <c r="C79" s="60" t="s">
        <v>8</v>
      </c>
    </row>
    <row r="80" spans="1:3" x14ac:dyDescent="0.25">
      <c r="A80" s="8" t="s">
        <v>72</v>
      </c>
      <c r="B80" s="2">
        <v>150</v>
      </c>
      <c r="C80" s="60" t="s">
        <v>7</v>
      </c>
    </row>
    <row r="81" spans="1:3" x14ac:dyDescent="0.25">
      <c r="A81" s="8" t="s">
        <v>73</v>
      </c>
      <c r="B81" s="2">
        <v>660</v>
      </c>
      <c r="C81" s="60" t="s">
        <v>159</v>
      </c>
    </row>
    <row r="82" spans="1:3" x14ac:dyDescent="0.25">
      <c r="A82" s="8" t="s">
        <v>74</v>
      </c>
      <c r="B82" s="2">
        <v>400</v>
      </c>
      <c r="C82" s="60" t="s">
        <v>8</v>
      </c>
    </row>
    <row r="83" spans="1:3" x14ac:dyDescent="0.25">
      <c r="A83" s="8" t="s">
        <v>75</v>
      </c>
      <c r="B83" s="2">
        <v>50</v>
      </c>
      <c r="C83" s="60" t="s">
        <v>8</v>
      </c>
    </row>
    <row r="84" spans="1:3" x14ac:dyDescent="0.25">
      <c r="A84" s="8" t="s">
        <v>76</v>
      </c>
      <c r="B84" s="2">
        <v>1000</v>
      </c>
      <c r="C84" s="60" t="s">
        <v>8</v>
      </c>
    </row>
    <row r="85" spans="1:3" x14ac:dyDescent="0.25">
      <c r="A85" s="15" t="s">
        <v>77</v>
      </c>
      <c r="B85" s="2">
        <v>100</v>
      </c>
      <c r="C85" s="60" t="s">
        <v>8</v>
      </c>
    </row>
    <row r="86" spans="1:3" x14ac:dyDescent="0.25">
      <c r="A86" s="6" t="s">
        <v>78</v>
      </c>
      <c r="B86" s="2">
        <v>1500</v>
      </c>
      <c r="C86" s="60" t="s">
        <v>8</v>
      </c>
    </row>
    <row r="87" spans="1:3" x14ac:dyDescent="0.25">
      <c r="A87" s="8" t="s">
        <v>79</v>
      </c>
      <c r="B87" s="2">
        <v>600</v>
      </c>
      <c r="C87" s="60" t="s">
        <v>8</v>
      </c>
    </row>
    <row r="88" spans="1:3" x14ac:dyDescent="0.25">
      <c r="A88" s="8" t="s">
        <v>80</v>
      </c>
      <c r="B88" s="2">
        <v>5200</v>
      </c>
      <c r="C88" s="60" t="s">
        <v>7</v>
      </c>
    </row>
    <row r="89" spans="1:3" x14ac:dyDescent="0.25">
      <c r="A89" s="8" t="s">
        <v>81</v>
      </c>
      <c r="B89" s="2">
        <v>444</v>
      </c>
      <c r="C89" s="60" t="s">
        <v>8</v>
      </c>
    </row>
    <row r="90" spans="1:3" x14ac:dyDescent="0.25">
      <c r="A90" s="8" t="s">
        <v>82</v>
      </c>
      <c r="B90" s="2">
        <v>100</v>
      </c>
      <c r="C90" s="60" t="s">
        <v>8</v>
      </c>
    </row>
    <row r="91" spans="1:3" ht="15.75" thickBot="1" x14ac:dyDescent="0.3">
      <c r="A91" s="12" t="s">
        <v>83</v>
      </c>
      <c r="B91" s="2">
        <v>1680</v>
      </c>
      <c r="C91" s="60" t="s">
        <v>159</v>
      </c>
    </row>
    <row r="92" spans="1:3" ht="15.75" thickBot="1" x14ac:dyDescent="0.3">
      <c r="A92" s="41" t="s">
        <v>84</v>
      </c>
      <c r="B92" s="45">
        <v>9550</v>
      </c>
      <c r="C92" s="60"/>
    </row>
    <row r="93" spans="1:3" x14ac:dyDescent="0.25">
      <c r="A93" s="6" t="s">
        <v>85</v>
      </c>
      <c r="B93" s="78">
        <v>100</v>
      </c>
      <c r="C93" s="60" t="s">
        <v>155</v>
      </c>
    </row>
    <row r="94" spans="1:3" x14ac:dyDescent="0.25">
      <c r="A94" s="8" t="s">
        <v>86</v>
      </c>
      <c r="B94" s="9">
        <v>600</v>
      </c>
      <c r="C94" s="60" t="s">
        <v>7</v>
      </c>
    </row>
    <row r="95" spans="1:3" x14ac:dyDescent="0.25">
      <c r="A95" s="8" t="s">
        <v>157</v>
      </c>
      <c r="B95" s="9">
        <v>3800</v>
      </c>
      <c r="C95" s="60" t="s">
        <v>8</v>
      </c>
    </row>
    <row r="96" spans="1:3" x14ac:dyDescent="0.25">
      <c r="A96" s="8" t="s">
        <v>87</v>
      </c>
      <c r="B96" s="9">
        <v>2000</v>
      </c>
      <c r="C96" s="60" t="s">
        <v>155</v>
      </c>
    </row>
    <row r="97" spans="1:3" x14ac:dyDescent="0.25">
      <c r="A97" s="8" t="s">
        <v>88</v>
      </c>
      <c r="B97" s="9">
        <v>50</v>
      </c>
      <c r="C97" s="60" t="s">
        <v>8</v>
      </c>
    </row>
    <row r="98" spans="1:3" ht="15.75" thickBot="1" x14ac:dyDescent="0.3">
      <c r="A98" s="12" t="s">
        <v>89</v>
      </c>
      <c r="B98" s="2">
        <v>3000</v>
      </c>
      <c r="C98" s="60" t="s">
        <v>8</v>
      </c>
    </row>
    <row r="99" spans="1:3" ht="15.75" thickBot="1" x14ac:dyDescent="0.3">
      <c r="A99" s="41" t="s">
        <v>90</v>
      </c>
      <c r="B99" s="45">
        <v>26620</v>
      </c>
      <c r="C99" s="60"/>
    </row>
    <row r="100" spans="1:3" x14ac:dyDescent="0.25">
      <c r="A100" s="6" t="s">
        <v>91</v>
      </c>
      <c r="B100" s="9">
        <v>800</v>
      </c>
      <c r="C100" s="60" t="s">
        <v>7</v>
      </c>
    </row>
    <row r="101" spans="1:3" x14ac:dyDescent="0.25">
      <c r="A101" s="8" t="s">
        <v>92</v>
      </c>
      <c r="B101" s="9">
        <v>200</v>
      </c>
      <c r="C101" s="60" t="s">
        <v>7</v>
      </c>
    </row>
    <row r="102" spans="1:3" x14ac:dyDescent="0.25">
      <c r="A102" s="8" t="s">
        <v>149</v>
      </c>
      <c r="B102" s="9">
        <v>1290</v>
      </c>
      <c r="C102" s="60" t="s">
        <v>7</v>
      </c>
    </row>
    <row r="103" spans="1:3" x14ac:dyDescent="0.25">
      <c r="A103" s="8" t="s">
        <v>93</v>
      </c>
      <c r="B103" s="9">
        <v>200</v>
      </c>
      <c r="C103" s="60" t="s">
        <v>7</v>
      </c>
    </row>
    <row r="104" spans="1:3" x14ac:dyDescent="0.25">
      <c r="A104" s="8" t="s">
        <v>94</v>
      </c>
      <c r="B104" s="9">
        <v>800</v>
      </c>
      <c r="C104" s="60" t="s">
        <v>7</v>
      </c>
    </row>
    <row r="105" spans="1:3" x14ac:dyDescent="0.25">
      <c r="A105" s="8" t="s">
        <v>95</v>
      </c>
      <c r="B105" s="9">
        <v>300</v>
      </c>
      <c r="C105" s="60" t="s">
        <v>7</v>
      </c>
    </row>
    <row r="106" spans="1:3" x14ac:dyDescent="0.25">
      <c r="A106" s="8" t="s">
        <v>96</v>
      </c>
      <c r="B106" s="9">
        <v>1260</v>
      </c>
      <c r="C106" s="60" t="s">
        <v>7</v>
      </c>
    </row>
    <row r="107" spans="1:3" x14ac:dyDescent="0.25">
      <c r="A107" s="8" t="s">
        <v>160</v>
      </c>
      <c r="B107" s="9">
        <v>0</v>
      </c>
      <c r="C107" s="60"/>
    </row>
    <row r="108" spans="1:3" x14ac:dyDescent="0.25">
      <c r="A108" s="8" t="s">
        <v>97</v>
      </c>
      <c r="B108" s="9">
        <v>1200</v>
      </c>
      <c r="C108" s="60" t="s">
        <v>7</v>
      </c>
    </row>
    <row r="109" spans="1:3" x14ac:dyDescent="0.25">
      <c r="A109" s="8" t="s">
        <v>98</v>
      </c>
      <c r="B109" s="9">
        <v>1200</v>
      </c>
      <c r="C109" s="60" t="s">
        <v>7</v>
      </c>
    </row>
    <row r="110" spans="1:3" x14ac:dyDescent="0.25">
      <c r="A110" s="8" t="s">
        <v>99</v>
      </c>
      <c r="B110" s="9">
        <v>5000</v>
      </c>
      <c r="C110" s="60" t="s">
        <v>7</v>
      </c>
    </row>
    <row r="111" spans="1:3" x14ac:dyDescent="0.25">
      <c r="A111" s="8" t="s">
        <v>100</v>
      </c>
      <c r="B111" s="9">
        <v>100</v>
      </c>
      <c r="C111" s="60" t="s">
        <v>8</v>
      </c>
    </row>
    <row r="112" spans="1:3" x14ac:dyDescent="0.25">
      <c r="A112" s="8" t="s">
        <v>161</v>
      </c>
      <c r="B112" s="9">
        <v>0</v>
      </c>
      <c r="C112" s="60"/>
    </row>
    <row r="113" spans="1:3" x14ac:dyDescent="0.25">
      <c r="A113" s="8" t="s">
        <v>101</v>
      </c>
      <c r="B113" s="9">
        <v>900</v>
      </c>
      <c r="C113" s="60" t="s">
        <v>7</v>
      </c>
    </row>
    <row r="114" spans="1:3" x14ac:dyDescent="0.25">
      <c r="A114" s="8" t="s">
        <v>102</v>
      </c>
      <c r="B114" s="9">
        <v>1200</v>
      </c>
      <c r="C114" s="60" t="s">
        <v>7</v>
      </c>
    </row>
    <row r="115" spans="1:3" x14ac:dyDescent="0.25">
      <c r="A115" s="8" t="s">
        <v>103</v>
      </c>
      <c r="B115" s="9">
        <v>100</v>
      </c>
      <c r="C115" s="60" t="s">
        <v>7</v>
      </c>
    </row>
    <row r="116" spans="1:3" x14ac:dyDescent="0.25">
      <c r="A116" s="8" t="s">
        <v>104</v>
      </c>
      <c r="B116" s="9">
        <v>1050</v>
      </c>
      <c r="C116" s="60" t="s">
        <v>7</v>
      </c>
    </row>
    <row r="117" spans="1:3" x14ac:dyDescent="0.25">
      <c r="A117" s="8" t="s">
        <v>105</v>
      </c>
      <c r="B117" s="9">
        <v>200</v>
      </c>
      <c r="C117" s="60" t="s">
        <v>7</v>
      </c>
    </row>
    <row r="118" spans="1:3" x14ac:dyDescent="0.25">
      <c r="A118" s="8" t="s">
        <v>106</v>
      </c>
      <c r="B118" s="9">
        <v>1200</v>
      </c>
      <c r="C118" s="60" t="s">
        <v>7</v>
      </c>
    </row>
    <row r="119" spans="1:3" x14ac:dyDescent="0.25">
      <c r="A119" s="8" t="s">
        <v>107</v>
      </c>
      <c r="B119" s="9">
        <v>4500</v>
      </c>
      <c r="C119" s="60" t="s">
        <v>203</v>
      </c>
    </row>
    <row r="120" spans="1:3" x14ac:dyDescent="0.25">
      <c r="A120" s="23" t="s">
        <v>108</v>
      </c>
      <c r="B120" s="9">
        <v>2120</v>
      </c>
      <c r="C120" s="60" t="s">
        <v>7</v>
      </c>
    </row>
    <row r="121" spans="1:3" x14ac:dyDescent="0.25">
      <c r="A121" s="8" t="s">
        <v>109</v>
      </c>
      <c r="B121" s="9">
        <v>900</v>
      </c>
      <c r="C121" s="60" t="s">
        <v>7</v>
      </c>
    </row>
    <row r="122" spans="1:3" x14ac:dyDescent="0.25">
      <c r="A122" s="8" t="s">
        <v>110</v>
      </c>
      <c r="B122" s="9">
        <v>1200</v>
      </c>
      <c r="C122" s="60" t="s">
        <v>8</v>
      </c>
    </row>
    <row r="123" spans="1:3" ht="15.75" thickBot="1" x14ac:dyDescent="0.3">
      <c r="A123" s="12" t="s">
        <v>111</v>
      </c>
      <c r="B123" s="9">
        <v>900</v>
      </c>
      <c r="C123" s="60" t="s">
        <v>7</v>
      </c>
    </row>
    <row r="124" spans="1:3" ht="15.75" thickBot="1" x14ac:dyDescent="0.3">
      <c r="A124" s="41" t="s">
        <v>112</v>
      </c>
      <c r="B124" s="45">
        <v>193102</v>
      </c>
      <c r="C124" s="60"/>
    </row>
    <row r="125" spans="1:3" x14ac:dyDescent="0.25">
      <c r="A125" s="6" t="s">
        <v>113</v>
      </c>
      <c r="B125" s="9">
        <v>5850</v>
      </c>
      <c r="C125" s="60" t="s">
        <v>155</v>
      </c>
    </row>
    <row r="126" spans="1:3" x14ac:dyDescent="0.25">
      <c r="A126" s="8" t="s">
        <v>114</v>
      </c>
      <c r="B126" s="9">
        <v>350</v>
      </c>
      <c r="C126" s="60" t="s">
        <v>7</v>
      </c>
    </row>
    <row r="127" spans="1:3" x14ac:dyDescent="0.25">
      <c r="A127" s="8" t="s">
        <v>162</v>
      </c>
      <c r="B127" s="9">
        <v>100</v>
      </c>
      <c r="C127" s="60" t="s">
        <v>7</v>
      </c>
    </row>
    <row r="128" spans="1:3" x14ac:dyDescent="0.25">
      <c r="A128" s="8" t="s">
        <v>115</v>
      </c>
      <c r="B128" s="9">
        <v>700</v>
      </c>
      <c r="C128" s="60" t="s">
        <v>7</v>
      </c>
    </row>
    <row r="129" spans="1:3" x14ac:dyDescent="0.25">
      <c r="A129" s="8" t="s">
        <v>116</v>
      </c>
      <c r="B129" s="9">
        <v>20</v>
      </c>
      <c r="C129" s="60" t="s">
        <v>8</v>
      </c>
    </row>
    <row r="130" spans="1:3" x14ac:dyDescent="0.25">
      <c r="A130" s="8" t="s">
        <v>117</v>
      </c>
      <c r="B130" s="9">
        <v>200</v>
      </c>
      <c r="C130" s="60" t="s">
        <v>8</v>
      </c>
    </row>
    <row r="131" spans="1:3" x14ac:dyDescent="0.25">
      <c r="A131" s="8" t="s">
        <v>118</v>
      </c>
      <c r="B131" s="9">
        <v>500</v>
      </c>
      <c r="C131" s="60" t="s">
        <v>8</v>
      </c>
    </row>
    <row r="132" spans="1:3" x14ac:dyDescent="0.25">
      <c r="A132" s="8" t="s">
        <v>119</v>
      </c>
      <c r="B132" s="9">
        <v>11037</v>
      </c>
      <c r="C132" s="60" t="s">
        <v>7</v>
      </c>
    </row>
    <row r="133" spans="1:3" x14ac:dyDescent="0.25">
      <c r="A133" s="8" t="s">
        <v>163</v>
      </c>
      <c r="B133" s="9">
        <v>900</v>
      </c>
      <c r="C133" s="60" t="s">
        <v>7</v>
      </c>
    </row>
    <row r="134" spans="1:3" x14ac:dyDescent="0.25">
      <c r="A134" s="8" t="s">
        <v>120</v>
      </c>
      <c r="B134" s="9">
        <v>1200</v>
      </c>
      <c r="C134" s="60" t="s">
        <v>7</v>
      </c>
    </row>
    <row r="135" spans="1:3" x14ac:dyDescent="0.25">
      <c r="A135" s="23" t="s">
        <v>121</v>
      </c>
      <c r="B135" s="9">
        <v>33300</v>
      </c>
      <c r="C135" s="60" t="s">
        <v>155</v>
      </c>
    </row>
    <row r="136" spans="1:3" x14ac:dyDescent="0.25">
      <c r="A136" s="8" t="s">
        <v>122</v>
      </c>
      <c r="B136" s="9">
        <v>62340</v>
      </c>
      <c r="C136" s="60" t="s">
        <v>155</v>
      </c>
    </row>
    <row r="137" spans="1:3" x14ac:dyDescent="0.25">
      <c r="A137" s="8" t="s">
        <v>158</v>
      </c>
      <c r="B137" s="9">
        <v>65777</v>
      </c>
      <c r="C137" s="60" t="s">
        <v>7</v>
      </c>
    </row>
    <row r="138" spans="1:3" x14ac:dyDescent="0.25">
      <c r="A138" s="8" t="s">
        <v>123</v>
      </c>
      <c r="B138" s="9">
        <v>1700</v>
      </c>
      <c r="C138" s="60" t="s">
        <v>155</v>
      </c>
    </row>
    <row r="139" spans="1:3" x14ac:dyDescent="0.25">
      <c r="A139" s="8" t="s">
        <v>124</v>
      </c>
      <c r="B139" s="9">
        <v>3100</v>
      </c>
      <c r="C139" s="60" t="s">
        <v>7</v>
      </c>
    </row>
    <row r="140" spans="1:3" x14ac:dyDescent="0.25">
      <c r="A140" s="8" t="s">
        <v>125</v>
      </c>
      <c r="B140" s="9">
        <v>1800</v>
      </c>
      <c r="C140" s="60" t="s">
        <v>7</v>
      </c>
    </row>
    <row r="141" spans="1:3" x14ac:dyDescent="0.25">
      <c r="A141" s="8" t="s">
        <v>164</v>
      </c>
      <c r="B141" s="9">
        <v>128</v>
      </c>
      <c r="C141" s="60" t="s">
        <v>7</v>
      </c>
    </row>
    <row r="142" spans="1:3" x14ac:dyDescent="0.25">
      <c r="A142" s="8" t="s">
        <v>126</v>
      </c>
      <c r="B142" s="9">
        <v>1300</v>
      </c>
      <c r="C142" s="60" t="s">
        <v>155</v>
      </c>
    </row>
    <row r="143" spans="1:3" x14ac:dyDescent="0.25">
      <c r="A143" s="8" t="s">
        <v>127</v>
      </c>
      <c r="B143" s="9">
        <v>1600</v>
      </c>
      <c r="C143" s="60" t="s">
        <v>7</v>
      </c>
    </row>
    <row r="144" spans="1:3" x14ac:dyDescent="0.25">
      <c r="A144" s="8" t="s">
        <v>128</v>
      </c>
      <c r="B144" s="9">
        <v>400</v>
      </c>
      <c r="C144" s="60" t="s">
        <v>155</v>
      </c>
    </row>
    <row r="145" spans="1:3" ht="15.75" thickBot="1" x14ac:dyDescent="0.3">
      <c r="A145" s="17" t="s">
        <v>129</v>
      </c>
      <c r="B145" s="9">
        <v>800</v>
      </c>
      <c r="C145" s="60" t="s">
        <v>159</v>
      </c>
    </row>
    <row r="146" spans="1:3" ht="15.75" thickBot="1" x14ac:dyDescent="0.3">
      <c r="A146" s="47" t="s">
        <v>152</v>
      </c>
      <c r="B146" s="72">
        <v>1985</v>
      </c>
      <c r="C146" s="60" t="s">
        <v>8</v>
      </c>
    </row>
    <row r="147" spans="1:3" ht="15.75" thickBot="1" x14ac:dyDescent="0.3">
      <c r="A147" s="48" t="s">
        <v>130</v>
      </c>
      <c r="B147" s="72">
        <v>3000</v>
      </c>
      <c r="C147" s="60" t="s">
        <v>8</v>
      </c>
    </row>
    <row r="148" spans="1:3" ht="15.75" thickBot="1" x14ac:dyDescent="0.3">
      <c r="A148" s="47" t="s">
        <v>151</v>
      </c>
      <c r="B148" s="72">
        <v>2600</v>
      </c>
      <c r="C148" s="60" t="s">
        <v>155</v>
      </c>
    </row>
    <row r="149" spans="1:3" x14ac:dyDescent="0.25">
      <c r="A149" s="6" t="s">
        <v>131</v>
      </c>
      <c r="B149" s="9">
        <v>1800</v>
      </c>
      <c r="C149" s="60" t="s">
        <v>7</v>
      </c>
    </row>
    <row r="150" spans="1:3" x14ac:dyDescent="0.25">
      <c r="A150" s="8" t="s">
        <v>132</v>
      </c>
      <c r="B150" s="9">
        <v>100</v>
      </c>
      <c r="C150" s="60" t="s">
        <v>7</v>
      </c>
    </row>
    <row r="151" spans="1:3" x14ac:dyDescent="0.25">
      <c r="A151" s="12" t="s">
        <v>133</v>
      </c>
      <c r="B151" s="9">
        <v>600</v>
      </c>
      <c r="C151" s="60" t="s">
        <v>155</v>
      </c>
    </row>
    <row r="152" spans="1:3" ht="15.75" thickBot="1" x14ac:dyDescent="0.3">
      <c r="A152" s="18" t="s">
        <v>134</v>
      </c>
      <c r="B152" s="9">
        <v>100</v>
      </c>
      <c r="C152" s="60" t="s">
        <v>8</v>
      </c>
    </row>
    <row r="153" spans="1:3" ht="15.75" thickBot="1" x14ac:dyDescent="0.3">
      <c r="A153" s="50" t="s">
        <v>150</v>
      </c>
      <c r="B153" s="44">
        <v>900</v>
      </c>
      <c r="C153" s="60" t="s">
        <v>159</v>
      </c>
    </row>
    <row r="154" spans="1:3" ht="15.75" thickBot="1" x14ac:dyDescent="0.3">
      <c r="A154" s="41" t="s">
        <v>135</v>
      </c>
      <c r="B154" s="44">
        <v>700</v>
      </c>
      <c r="C154" s="60" t="s">
        <v>8</v>
      </c>
    </row>
    <row r="155" spans="1:3" ht="16.5" thickBot="1" x14ac:dyDescent="0.3">
      <c r="A155" s="29" t="s">
        <v>136</v>
      </c>
      <c r="B155" s="30">
        <v>2788431</v>
      </c>
      <c r="C155" s="60"/>
    </row>
    <row r="156" spans="1:3" x14ac:dyDescent="0.25">
      <c r="A156" s="19" t="s">
        <v>166</v>
      </c>
      <c r="B156" s="2">
        <v>0</v>
      </c>
      <c r="C156" s="60"/>
    </row>
    <row r="157" spans="1:3" x14ac:dyDescent="0.25">
      <c r="A157" s="19" t="s">
        <v>137</v>
      </c>
      <c r="B157" s="2">
        <v>2797</v>
      </c>
      <c r="C157" s="60" t="s">
        <v>174</v>
      </c>
    </row>
    <row r="158" spans="1:3" x14ac:dyDescent="0.25">
      <c r="A158" s="19" t="s">
        <v>156</v>
      </c>
      <c r="B158" s="2">
        <v>0</v>
      </c>
      <c r="C158" s="60"/>
    </row>
    <row r="159" spans="1:3" x14ac:dyDescent="0.25">
      <c r="A159" s="21" t="s">
        <v>138</v>
      </c>
      <c r="B159" s="2">
        <v>0</v>
      </c>
      <c r="C159" s="60"/>
    </row>
    <row r="160" spans="1:3" x14ac:dyDescent="0.25">
      <c r="A160" s="21" t="s">
        <v>175</v>
      </c>
      <c r="B160" s="2">
        <v>0</v>
      </c>
      <c r="C160" s="60"/>
    </row>
    <row r="161" spans="1:3" x14ac:dyDescent="0.25">
      <c r="A161" s="21" t="s">
        <v>139</v>
      </c>
      <c r="B161" s="2">
        <v>4000</v>
      </c>
      <c r="C161" s="60" t="s">
        <v>198</v>
      </c>
    </row>
    <row r="162" spans="1:3" x14ac:dyDescent="0.25">
      <c r="A162" s="21" t="s">
        <v>140</v>
      </c>
      <c r="B162" s="2">
        <v>23134</v>
      </c>
      <c r="C162" s="60" t="s">
        <v>159</v>
      </c>
    </row>
    <row r="163" spans="1:3" x14ac:dyDescent="0.25">
      <c r="A163" s="19" t="s">
        <v>141</v>
      </c>
      <c r="B163" s="2">
        <v>35127</v>
      </c>
      <c r="C163" s="60" t="s">
        <v>159</v>
      </c>
    </row>
    <row r="164" spans="1:3" x14ac:dyDescent="0.25">
      <c r="A164" s="21" t="s">
        <v>142</v>
      </c>
      <c r="B164" s="2">
        <v>2449</v>
      </c>
      <c r="C164" s="60" t="s">
        <v>204</v>
      </c>
    </row>
    <row r="165" spans="1:3" x14ac:dyDescent="0.25">
      <c r="A165" s="21" t="s">
        <v>176</v>
      </c>
      <c r="B165" s="2">
        <v>15</v>
      </c>
      <c r="C165" s="60" t="s">
        <v>8</v>
      </c>
    </row>
    <row r="166" spans="1:3" x14ac:dyDescent="0.25">
      <c r="A166" s="19" t="s">
        <v>143</v>
      </c>
      <c r="B166" s="2">
        <v>150</v>
      </c>
      <c r="C166" s="60" t="s">
        <v>8</v>
      </c>
    </row>
    <row r="167" spans="1:3" x14ac:dyDescent="0.25">
      <c r="A167" s="22" t="s">
        <v>144</v>
      </c>
      <c r="B167" s="2">
        <v>22700</v>
      </c>
      <c r="C167" s="60" t="s">
        <v>159</v>
      </c>
    </row>
    <row r="168" spans="1:3" x14ac:dyDescent="0.25">
      <c r="A168" s="19" t="s">
        <v>145</v>
      </c>
      <c r="B168" s="2">
        <v>0</v>
      </c>
      <c r="C168" s="60"/>
    </row>
    <row r="169" spans="1:3" x14ac:dyDescent="0.25">
      <c r="A169" s="19" t="s">
        <v>168</v>
      </c>
      <c r="B169" s="2">
        <v>100</v>
      </c>
      <c r="C169" s="60" t="s">
        <v>8</v>
      </c>
    </row>
    <row r="170" spans="1:3" ht="15.75" thickBot="1" x14ac:dyDescent="0.3">
      <c r="A170" s="19" t="s">
        <v>146</v>
      </c>
      <c r="B170" s="2">
        <v>50</v>
      </c>
      <c r="C170" s="60" t="s">
        <v>8</v>
      </c>
    </row>
    <row r="171" spans="1:3" ht="16.5" thickBot="1" x14ac:dyDescent="0.3">
      <c r="A171" s="29" t="s">
        <v>147</v>
      </c>
      <c r="B171" s="30">
        <v>90522</v>
      </c>
      <c r="C171" s="61"/>
    </row>
    <row r="172" spans="1:3" ht="16.5" thickBot="1" x14ac:dyDescent="0.3">
      <c r="A172" s="34" t="s">
        <v>148</v>
      </c>
      <c r="B172" s="35">
        <v>2878953</v>
      </c>
      <c r="C172" s="62"/>
    </row>
    <row r="173" spans="1:3" x14ac:dyDescent="0.25">
      <c r="B173" s="147" t="s">
        <v>179</v>
      </c>
      <c r="C173" s="147"/>
    </row>
    <row r="174" spans="1:3" x14ac:dyDescent="0.25">
      <c r="B174" s="147" t="s">
        <v>181</v>
      </c>
      <c r="C174" s="147"/>
    </row>
    <row r="175" spans="1:3" x14ac:dyDescent="0.25">
      <c r="B175" s="147"/>
      <c r="C175" s="147"/>
    </row>
  </sheetData>
  <mergeCells count="4">
    <mergeCell ref="A2:C2"/>
    <mergeCell ref="A3:C3"/>
    <mergeCell ref="B173:C173"/>
    <mergeCell ref="B174:C175"/>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6"/>
  <sheetViews>
    <sheetView topLeftCell="B163" zoomScale="120" zoomScaleNormal="120" workbookViewId="0">
      <selection activeCell="B173" sqref="B173:H173"/>
    </sheetView>
  </sheetViews>
  <sheetFormatPr defaultRowHeight="15" x14ac:dyDescent="0.25"/>
  <cols>
    <col min="1" max="1" width="0.85546875" hidden="1" customWidth="1"/>
    <col min="2" max="2" width="47.42578125" customWidth="1"/>
    <col min="3" max="3" width="11.42578125" customWidth="1"/>
    <col min="4" max="4" width="8.42578125" customWidth="1"/>
    <col min="5" max="6" width="7.85546875" customWidth="1"/>
    <col min="7" max="7" width="8.28515625" customWidth="1"/>
    <col min="8" max="8" width="12.42578125" customWidth="1"/>
    <col min="12" max="12" width="14.7109375" customWidth="1"/>
  </cols>
  <sheetData>
    <row r="1" spans="2:11" ht="9.75" customHeight="1" x14ac:dyDescent="0.25"/>
    <row r="2" spans="2:11" x14ac:dyDescent="0.25">
      <c r="B2" s="144" t="s">
        <v>0</v>
      </c>
      <c r="C2" s="144"/>
      <c r="D2" s="144"/>
      <c r="E2" s="144"/>
      <c r="F2" s="144"/>
      <c r="G2" s="144"/>
      <c r="H2" s="144"/>
    </row>
    <row r="3" spans="2:11" x14ac:dyDescent="0.25">
      <c r="B3" s="145" t="s">
        <v>205</v>
      </c>
      <c r="C3" s="145"/>
      <c r="D3" s="145"/>
      <c r="E3" s="145"/>
      <c r="F3" s="145"/>
      <c r="G3" s="145"/>
      <c r="H3" s="145"/>
    </row>
    <row r="4" spans="2:11" ht="16.5" thickBot="1" x14ac:dyDescent="0.3">
      <c r="B4" s="3"/>
      <c r="C4" s="3"/>
      <c r="D4" s="3"/>
      <c r="E4" s="3"/>
      <c r="F4" s="3"/>
      <c r="G4" s="3"/>
      <c r="H4" s="5" t="s">
        <v>1</v>
      </c>
    </row>
    <row r="5" spans="2:11" ht="82.5" thickBot="1" x14ac:dyDescent="0.3">
      <c r="B5" s="24" t="s">
        <v>2</v>
      </c>
      <c r="C5" s="33" t="s">
        <v>3</v>
      </c>
      <c r="D5" s="33" t="s">
        <v>186</v>
      </c>
      <c r="E5" s="33" t="s">
        <v>4</v>
      </c>
      <c r="F5" s="33" t="s">
        <v>197</v>
      </c>
      <c r="G5" s="33" t="s">
        <v>186</v>
      </c>
      <c r="H5" s="25" t="s">
        <v>5</v>
      </c>
    </row>
    <row r="6" spans="2:11" ht="15.75" x14ac:dyDescent="0.25">
      <c r="B6" s="26" t="s">
        <v>6</v>
      </c>
      <c r="C6" s="95" t="s">
        <v>7</v>
      </c>
      <c r="D6" s="27" t="s">
        <v>199</v>
      </c>
      <c r="E6" s="27" t="s">
        <v>8</v>
      </c>
      <c r="F6" s="27" t="s">
        <v>198</v>
      </c>
      <c r="G6" s="76">
        <v>13</v>
      </c>
      <c r="H6" s="28"/>
    </row>
    <row r="7" spans="2:11" x14ac:dyDescent="0.25">
      <c r="B7" s="6" t="s">
        <v>9</v>
      </c>
      <c r="C7" s="75">
        <f>2155096+335323+29000+C22+C29+70000+2965+13592+3162</f>
        <v>2681262</v>
      </c>
      <c r="D7" s="109"/>
      <c r="E7" s="7"/>
      <c r="F7" s="64"/>
      <c r="G7" s="64"/>
      <c r="H7" s="2">
        <f>SUM(C7:G7)</f>
        <v>2681262</v>
      </c>
    </row>
    <row r="8" spans="2:11" x14ac:dyDescent="0.25">
      <c r="B8" s="8" t="s">
        <v>10</v>
      </c>
      <c r="C8" s="73">
        <f>28311+2392</f>
        <v>30703</v>
      </c>
      <c r="D8" s="73"/>
      <c r="E8" s="9"/>
      <c r="F8" s="64"/>
      <c r="G8" s="64"/>
      <c r="H8" s="2">
        <f t="shared" ref="H8:H13" si="0">SUM(C8:G8)</f>
        <v>30703</v>
      </c>
    </row>
    <row r="9" spans="2:11" x14ac:dyDescent="0.25">
      <c r="B9" s="8" t="s">
        <v>195</v>
      </c>
      <c r="C9" s="9"/>
      <c r="D9" s="9"/>
      <c r="E9" s="102">
        <f>54750+2000+2500+530+750+670-3000-930-1070+550+1775+2000</f>
        <v>60525</v>
      </c>
      <c r="F9" s="64"/>
      <c r="G9" s="64"/>
      <c r="H9" s="2">
        <f t="shared" si="0"/>
        <v>60525</v>
      </c>
    </row>
    <row r="10" spans="2:11" x14ac:dyDescent="0.25">
      <c r="B10" s="8" t="s">
        <v>169</v>
      </c>
      <c r="C10" s="9">
        <v>2527</v>
      </c>
      <c r="D10" s="9"/>
      <c r="E10" s="9">
        <f>4500+3000+250+900</f>
        <v>8650</v>
      </c>
      <c r="F10" s="64"/>
      <c r="G10" s="64"/>
      <c r="H10" s="2">
        <f t="shared" si="0"/>
        <v>11177</v>
      </c>
    </row>
    <row r="11" spans="2:11" x14ac:dyDescent="0.25">
      <c r="B11" s="8" t="s">
        <v>170</v>
      </c>
      <c r="C11" s="9"/>
      <c r="D11" s="9">
        <f>80011+700</f>
        <v>80711</v>
      </c>
      <c r="E11" s="9"/>
      <c r="F11" s="64">
        <f>729+4000</f>
        <v>4729</v>
      </c>
      <c r="G11" s="64"/>
      <c r="H11" s="2">
        <f>SUM(C11:G11)</f>
        <v>85440</v>
      </c>
    </row>
    <row r="12" spans="2:11" x14ac:dyDescent="0.25">
      <c r="B12" s="8" t="s">
        <v>196</v>
      </c>
      <c r="C12" s="9"/>
      <c r="D12" s="9"/>
      <c r="E12" s="9"/>
      <c r="F12" s="64">
        <v>500</v>
      </c>
      <c r="G12" s="64"/>
      <c r="H12" s="2">
        <f t="shared" si="0"/>
        <v>500</v>
      </c>
      <c r="K12" s="56"/>
    </row>
    <row r="13" spans="2:11" x14ac:dyDescent="0.25">
      <c r="B13" s="8" t="s">
        <v>13</v>
      </c>
      <c r="C13" s="1">
        <f>2479+27+105</f>
        <v>2611</v>
      </c>
      <c r="D13" s="1"/>
      <c r="E13" s="1">
        <v>5650</v>
      </c>
      <c r="F13" s="9"/>
      <c r="G13" s="9"/>
      <c r="H13" s="2">
        <f t="shared" si="0"/>
        <v>8261</v>
      </c>
    </row>
    <row r="14" spans="2:11" ht="15.75" thickBot="1" x14ac:dyDescent="0.3">
      <c r="B14" s="10" t="s">
        <v>172</v>
      </c>
      <c r="C14" s="1"/>
      <c r="D14" s="1"/>
      <c r="E14" s="1"/>
      <c r="F14" s="37"/>
      <c r="G14" s="37">
        <f>2797+288</f>
        <v>3085</v>
      </c>
      <c r="H14" s="2">
        <f>SUM(C14:G14)</f>
        <v>3085</v>
      </c>
    </row>
    <row r="15" spans="2:11" ht="16.5" thickBot="1" x14ac:dyDescent="0.3">
      <c r="B15" s="29" t="s">
        <v>14</v>
      </c>
      <c r="C15" s="30">
        <f>SUM(C7:C14)</f>
        <v>2717103</v>
      </c>
      <c r="D15" s="30">
        <f>SUM(D7:D14)</f>
        <v>80711</v>
      </c>
      <c r="E15" s="30">
        <f>SUM(E7:E14)</f>
        <v>74825</v>
      </c>
      <c r="F15" s="30">
        <f t="shared" ref="F15:G15" si="1">SUM(F7:F14)</f>
        <v>5229</v>
      </c>
      <c r="G15" s="30">
        <f t="shared" si="1"/>
        <v>3085</v>
      </c>
      <c r="H15" s="30">
        <f>SUM(H7:H14)</f>
        <v>2880953</v>
      </c>
    </row>
    <row r="16" spans="2:11" ht="6.75" customHeight="1" thickBot="1" x14ac:dyDescent="0.3">
      <c r="B16" s="3"/>
      <c r="C16" s="11"/>
      <c r="D16" s="11"/>
      <c r="E16" s="11"/>
      <c r="F16" s="11"/>
      <c r="G16" s="11"/>
      <c r="H16" s="11"/>
    </row>
    <row r="17" spans="2:10" ht="82.5" thickBot="1" x14ac:dyDescent="0.3">
      <c r="B17" s="24" t="s">
        <v>15</v>
      </c>
      <c r="C17" s="33" t="s">
        <v>3</v>
      </c>
      <c r="D17" s="33" t="s">
        <v>186</v>
      </c>
      <c r="E17" s="33" t="s">
        <v>4</v>
      </c>
      <c r="F17" s="33" t="s">
        <v>197</v>
      </c>
      <c r="G17" s="33" t="s">
        <v>186</v>
      </c>
      <c r="H17" s="25" t="s">
        <v>5</v>
      </c>
    </row>
    <row r="18" spans="2:10" ht="16.5" thickBot="1" x14ac:dyDescent="0.3">
      <c r="B18" s="31" t="s">
        <v>6</v>
      </c>
      <c r="C18" s="31" t="s">
        <v>7</v>
      </c>
      <c r="D18" s="27" t="s">
        <v>199</v>
      </c>
      <c r="E18" s="27" t="s">
        <v>8</v>
      </c>
      <c r="F18" s="95" t="s">
        <v>198</v>
      </c>
      <c r="G18" s="76">
        <v>13</v>
      </c>
      <c r="H18" s="28"/>
    </row>
    <row r="19" spans="2:10" ht="15.75" thickBot="1" x14ac:dyDescent="0.3">
      <c r="B19" s="41" t="s">
        <v>16</v>
      </c>
      <c r="C19" s="45">
        <f>1870011+313095+70000</f>
        <v>2253106</v>
      </c>
      <c r="D19" s="45">
        <v>80</v>
      </c>
      <c r="E19" s="45">
        <f>22550-550</f>
        <v>22000</v>
      </c>
      <c r="F19" s="45"/>
      <c r="G19" s="45">
        <v>288</v>
      </c>
      <c r="H19" s="45">
        <f>SUM(C19:G19)</f>
        <v>2275474</v>
      </c>
    </row>
    <row r="20" spans="2:10" ht="15.75" thickBot="1" x14ac:dyDescent="0.3">
      <c r="B20" s="41" t="s">
        <v>17</v>
      </c>
      <c r="C20" s="45">
        <f>48936+7363</f>
        <v>56299</v>
      </c>
      <c r="D20" s="45"/>
      <c r="E20" s="45">
        <v>400</v>
      </c>
      <c r="F20" s="45"/>
      <c r="G20" s="45"/>
      <c r="H20" s="45">
        <f t="shared" ref="H20:H21" si="2">SUM(C20:G20)</f>
        <v>56699</v>
      </c>
      <c r="J20" s="56"/>
    </row>
    <row r="21" spans="2:10" ht="15.75" thickBot="1" x14ac:dyDescent="0.3">
      <c r="B21" s="41" t="s">
        <v>18</v>
      </c>
      <c r="C21" s="45"/>
      <c r="D21" s="45"/>
      <c r="E21" s="45">
        <f>1800+100</f>
        <v>1900</v>
      </c>
      <c r="F21" s="45"/>
      <c r="G21" s="45"/>
      <c r="H21" s="45">
        <f t="shared" si="2"/>
        <v>1900</v>
      </c>
    </row>
    <row r="22" spans="2:10" ht="15.75" thickBot="1" x14ac:dyDescent="0.3">
      <c r="B22" s="41" t="s">
        <v>19</v>
      </c>
      <c r="C22" s="42">
        <f>+C24+C25+C26+C27+C28+C23</f>
        <v>42624</v>
      </c>
      <c r="D22" s="42"/>
      <c r="E22" s="42">
        <f t="shared" ref="E22:G22" si="3">+E24+E25+E26+E27+E28</f>
        <v>2100</v>
      </c>
      <c r="F22" s="42"/>
      <c r="G22" s="42">
        <f t="shared" si="3"/>
        <v>0</v>
      </c>
      <c r="H22" s="42">
        <f>+H23+H24+H25+H26+H27+H28</f>
        <v>44724</v>
      </c>
    </row>
    <row r="23" spans="2:10" s="111" customFormat="1" x14ac:dyDescent="0.25">
      <c r="B23" s="110" t="s">
        <v>177</v>
      </c>
      <c r="C23" s="73">
        <v>104</v>
      </c>
      <c r="D23" s="73"/>
      <c r="E23" s="73"/>
      <c r="F23" s="75"/>
      <c r="G23" s="75"/>
      <c r="H23" s="75">
        <f>SUM(C23:G23)</f>
        <v>104</v>
      </c>
    </row>
    <row r="24" spans="2:10" x14ac:dyDescent="0.25">
      <c r="B24" s="6" t="s">
        <v>20</v>
      </c>
      <c r="C24" s="9"/>
      <c r="D24" s="9"/>
      <c r="E24" s="9">
        <v>600</v>
      </c>
      <c r="F24" s="7"/>
      <c r="G24" s="7"/>
      <c r="H24" s="7">
        <f>SUM(C24:G24)</f>
        <v>600</v>
      </c>
    </row>
    <row r="25" spans="2:10" x14ac:dyDescent="0.25">
      <c r="B25" s="8" t="s">
        <v>185</v>
      </c>
      <c r="C25" s="73">
        <f>7650+9700</f>
        <v>17350</v>
      </c>
      <c r="D25" s="73"/>
      <c r="E25" s="9">
        <v>400</v>
      </c>
      <c r="F25" s="7"/>
      <c r="G25" s="7"/>
      <c r="H25" s="7">
        <f t="shared" ref="H25:H28" si="4">SUM(C25:G25)</f>
        <v>17750</v>
      </c>
    </row>
    <row r="26" spans="2:10" x14ac:dyDescent="0.25">
      <c r="B26" s="8" t="s">
        <v>22</v>
      </c>
      <c r="C26" s="9">
        <f>250-53+303</f>
        <v>500</v>
      </c>
      <c r="D26" s="9"/>
      <c r="E26" s="9">
        <v>100</v>
      </c>
      <c r="F26" s="7"/>
      <c r="G26" s="7"/>
      <c r="H26" s="7">
        <f t="shared" si="4"/>
        <v>600</v>
      </c>
    </row>
    <row r="27" spans="2:10" x14ac:dyDescent="0.25">
      <c r="B27" s="12" t="s">
        <v>23</v>
      </c>
      <c r="C27" s="1">
        <f>750+150+500</f>
        <v>1400</v>
      </c>
      <c r="D27" s="1"/>
      <c r="E27" s="1">
        <v>100</v>
      </c>
      <c r="F27" s="1"/>
      <c r="G27" s="9"/>
      <c r="H27" s="7">
        <f t="shared" si="4"/>
        <v>1500</v>
      </c>
    </row>
    <row r="28" spans="2:10" ht="15.75" thickBot="1" x14ac:dyDescent="0.3">
      <c r="B28" s="8" t="s">
        <v>167</v>
      </c>
      <c r="C28" s="74">
        <f>5600+17774-104</f>
        <v>23270</v>
      </c>
      <c r="D28" s="74"/>
      <c r="E28" s="74">
        <v>900</v>
      </c>
      <c r="F28" s="90"/>
      <c r="G28" s="13"/>
      <c r="H28" s="7">
        <f t="shared" si="4"/>
        <v>24170</v>
      </c>
    </row>
    <row r="29" spans="2:10" ht="15.75" thickBot="1" x14ac:dyDescent="0.3">
      <c r="B29" s="41" t="s">
        <v>24</v>
      </c>
      <c r="C29" s="45">
        <f t="shared" ref="C29" si="5">+C30</f>
        <v>29500</v>
      </c>
      <c r="D29" s="45"/>
      <c r="E29" s="45">
        <f>+E30+E31</f>
        <v>515</v>
      </c>
      <c r="F29" s="101"/>
      <c r="G29" s="87"/>
      <c r="H29" s="45">
        <f>H30+H31</f>
        <v>30015</v>
      </c>
    </row>
    <row r="30" spans="2:10" x14ac:dyDescent="0.25">
      <c r="B30" s="10" t="s">
        <v>25</v>
      </c>
      <c r="C30" s="13">
        <v>29500</v>
      </c>
      <c r="D30" s="37"/>
      <c r="E30" s="98">
        <f>200+5</f>
        <v>205</v>
      </c>
      <c r="F30" s="37"/>
      <c r="G30" s="9"/>
      <c r="H30" s="88">
        <f>SUM(C30:E30)</f>
        <v>29705</v>
      </c>
    </row>
    <row r="31" spans="2:10" x14ac:dyDescent="0.25">
      <c r="B31" s="53" t="s">
        <v>178</v>
      </c>
      <c r="C31" s="9"/>
      <c r="D31" s="9"/>
      <c r="E31" s="9">
        <v>310</v>
      </c>
      <c r="F31" s="9"/>
      <c r="G31" s="9"/>
      <c r="H31" s="9">
        <f>SUM(C31:E31)</f>
        <v>310</v>
      </c>
    </row>
    <row r="32" spans="2:10" ht="15.75" thickBot="1" x14ac:dyDescent="0.3">
      <c r="B32" s="48" t="s">
        <v>26</v>
      </c>
      <c r="C32" s="86">
        <f>SUM(C33:C56)</f>
        <v>97382</v>
      </c>
      <c r="D32" s="86"/>
      <c r="E32" s="86">
        <f t="shared" ref="E32" si="6">SUM(E33:E56)</f>
        <v>9940</v>
      </c>
      <c r="F32" s="86"/>
      <c r="G32" s="86"/>
      <c r="H32" s="86">
        <f>SUM(H33:H56)</f>
        <v>107322</v>
      </c>
    </row>
    <row r="33" spans="2:11" x14ac:dyDescent="0.25">
      <c r="B33" s="53" t="s">
        <v>27</v>
      </c>
      <c r="C33" s="9">
        <v>2000</v>
      </c>
      <c r="D33" s="9"/>
      <c r="E33" s="9">
        <f>200+100</f>
        <v>300</v>
      </c>
      <c r="F33" s="9"/>
      <c r="G33" s="9"/>
      <c r="H33" s="9">
        <f>SUM(C33:G33)</f>
        <v>2300</v>
      </c>
    </row>
    <row r="34" spans="2:11" x14ac:dyDescent="0.25">
      <c r="B34" s="53" t="s">
        <v>28</v>
      </c>
      <c r="C34" s="73">
        <f>27392</f>
        <v>27392</v>
      </c>
      <c r="D34" s="73"/>
      <c r="E34" s="73">
        <f>500+250</f>
        <v>750</v>
      </c>
      <c r="F34" s="66"/>
      <c r="G34" s="9"/>
      <c r="H34" s="9">
        <f t="shared" ref="H34:H56" si="7">SUM(C34:G34)</f>
        <v>28142</v>
      </c>
    </row>
    <row r="35" spans="2:11" x14ac:dyDescent="0.25">
      <c r="B35" s="53" t="s">
        <v>29</v>
      </c>
      <c r="C35" s="73">
        <f>11000+1500</f>
        <v>12500</v>
      </c>
      <c r="D35" s="73"/>
      <c r="E35" s="73">
        <f>100+1400</f>
        <v>1500</v>
      </c>
      <c r="F35" s="66"/>
      <c r="G35" s="9"/>
      <c r="H35" s="9">
        <f t="shared" si="7"/>
        <v>14000</v>
      </c>
    </row>
    <row r="36" spans="2:11" x14ac:dyDescent="0.25">
      <c r="B36" s="53" t="s">
        <v>30</v>
      </c>
      <c r="C36" s="73">
        <v>100</v>
      </c>
      <c r="D36" s="73"/>
      <c r="E36" s="9"/>
      <c r="F36" s="9"/>
      <c r="G36" s="9"/>
      <c r="H36" s="9">
        <f t="shared" si="7"/>
        <v>100</v>
      </c>
    </row>
    <row r="37" spans="2:11" x14ac:dyDescent="0.25">
      <c r="B37" s="53" t="s">
        <v>31</v>
      </c>
      <c r="C37" s="73">
        <f>21000+2000</f>
        <v>23000</v>
      </c>
      <c r="D37" s="73"/>
      <c r="E37" s="66">
        <v>2500</v>
      </c>
      <c r="F37" s="66"/>
      <c r="G37" s="9"/>
      <c r="H37" s="9">
        <f t="shared" si="7"/>
        <v>25500</v>
      </c>
    </row>
    <row r="38" spans="2:11" x14ac:dyDescent="0.25">
      <c r="B38" s="53" t="s">
        <v>32</v>
      </c>
      <c r="C38" s="73">
        <f>6540-200</f>
        <v>6340</v>
      </c>
      <c r="D38" s="73"/>
      <c r="E38" s="73">
        <v>120</v>
      </c>
      <c r="F38" s="9"/>
      <c r="G38" s="9"/>
      <c r="H38" s="9">
        <f t="shared" si="7"/>
        <v>6460</v>
      </c>
      <c r="K38" s="56"/>
    </row>
    <row r="39" spans="2:11" x14ac:dyDescent="0.25">
      <c r="B39" s="53" t="s">
        <v>33</v>
      </c>
      <c r="C39" s="9">
        <f>500-50</f>
        <v>450</v>
      </c>
      <c r="D39" s="9"/>
      <c r="E39" s="9"/>
      <c r="F39" s="9"/>
      <c r="G39" s="9"/>
      <c r="H39" s="9">
        <f t="shared" si="7"/>
        <v>450</v>
      </c>
    </row>
    <row r="40" spans="2:11" x14ac:dyDescent="0.25">
      <c r="B40" s="53" t="s">
        <v>34</v>
      </c>
      <c r="C40" s="9">
        <f>550-50</f>
        <v>500</v>
      </c>
      <c r="D40" s="9"/>
      <c r="E40" s="9"/>
      <c r="F40" s="9"/>
      <c r="G40" s="9"/>
      <c r="H40" s="9">
        <f t="shared" si="7"/>
        <v>500</v>
      </c>
    </row>
    <row r="41" spans="2:11" x14ac:dyDescent="0.25">
      <c r="B41" s="53" t="s">
        <v>35</v>
      </c>
      <c r="C41" s="9">
        <f>6000-800</f>
        <v>5200</v>
      </c>
      <c r="D41" s="9"/>
      <c r="E41" s="9"/>
      <c r="F41" s="9"/>
      <c r="G41" s="9"/>
      <c r="H41" s="9">
        <f t="shared" si="7"/>
        <v>5200</v>
      </c>
    </row>
    <row r="42" spans="2:11" x14ac:dyDescent="0.25">
      <c r="B42" s="53" t="s">
        <v>36</v>
      </c>
      <c r="C42" s="9">
        <v>3600</v>
      </c>
      <c r="D42" s="9"/>
      <c r="E42" s="9">
        <v>3600</v>
      </c>
      <c r="F42" s="9"/>
      <c r="G42" s="9"/>
      <c r="H42" s="9">
        <f t="shared" si="7"/>
        <v>7200</v>
      </c>
    </row>
    <row r="43" spans="2:11" x14ac:dyDescent="0.25">
      <c r="B43" s="53" t="s">
        <v>37</v>
      </c>
      <c r="C43" s="102">
        <f>6600-1000</f>
        <v>5600</v>
      </c>
      <c r="D43" s="9"/>
      <c r="E43" s="9"/>
      <c r="F43" s="9"/>
      <c r="G43" s="9"/>
      <c r="H43" s="9">
        <f t="shared" si="7"/>
        <v>5600</v>
      </c>
    </row>
    <row r="44" spans="2:11" x14ac:dyDescent="0.25">
      <c r="B44" s="53" t="s">
        <v>38</v>
      </c>
      <c r="C44" s="9">
        <v>2700</v>
      </c>
      <c r="D44" s="9"/>
      <c r="E44" s="9"/>
      <c r="F44" s="9"/>
      <c r="G44" s="9"/>
      <c r="H44" s="9">
        <f t="shared" si="7"/>
        <v>2700</v>
      </c>
    </row>
    <row r="45" spans="2:11" x14ac:dyDescent="0.25">
      <c r="B45" s="53" t="s">
        <v>39</v>
      </c>
      <c r="C45" s="9">
        <v>1500</v>
      </c>
      <c r="D45" s="9"/>
      <c r="E45" s="9"/>
      <c r="F45" s="9"/>
      <c r="G45" s="9"/>
      <c r="H45" s="9">
        <f t="shared" si="7"/>
        <v>1500</v>
      </c>
    </row>
    <row r="46" spans="2:11" x14ac:dyDescent="0.25">
      <c r="B46" s="53" t="s">
        <v>40</v>
      </c>
      <c r="C46" s="9"/>
      <c r="D46" s="9"/>
      <c r="E46" s="9"/>
      <c r="F46" s="9"/>
      <c r="G46" s="9"/>
      <c r="H46" s="9">
        <f t="shared" si="7"/>
        <v>0</v>
      </c>
    </row>
    <row r="47" spans="2:11" x14ac:dyDescent="0.25">
      <c r="B47" s="53" t="s">
        <v>41</v>
      </c>
      <c r="C47" s="9">
        <v>600</v>
      </c>
      <c r="D47" s="9"/>
      <c r="E47" s="9">
        <v>50</v>
      </c>
      <c r="F47" s="9"/>
      <c r="G47" s="9"/>
      <c r="H47" s="9">
        <f t="shared" si="7"/>
        <v>650</v>
      </c>
    </row>
    <row r="48" spans="2:11" x14ac:dyDescent="0.25">
      <c r="B48" s="53" t="s">
        <v>42</v>
      </c>
      <c r="C48" s="9">
        <v>350</v>
      </c>
      <c r="D48" s="9"/>
      <c r="E48" s="9"/>
      <c r="F48" s="9"/>
      <c r="G48" s="9"/>
      <c r="H48" s="9">
        <f t="shared" si="7"/>
        <v>350</v>
      </c>
    </row>
    <row r="49" spans="2:8" x14ac:dyDescent="0.25">
      <c r="B49" s="53" t="s">
        <v>43</v>
      </c>
      <c r="C49" s="9">
        <v>550</v>
      </c>
      <c r="D49" s="9"/>
      <c r="E49" s="9"/>
      <c r="F49" s="9"/>
      <c r="G49" s="9"/>
      <c r="H49" s="9">
        <f t="shared" si="7"/>
        <v>550</v>
      </c>
    </row>
    <row r="50" spans="2:8" x14ac:dyDescent="0.25">
      <c r="B50" s="53" t="s">
        <v>44</v>
      </c>
      <c r="C50" s="9">
        <v>3800</v>
      </c>
      <c r="D50" s="9"/>
      <c r="E50" s="9"/>
      <c r="F50" s="9"/>
      <c r="G50" s="9"/>
      <c r="H50" s="9">
        <f t="shared" si="7"/>
        <v>3800</v>
      </c>
    </row>
    <row r="51" spans="2:8" x14ac:dyDescent="0.25">
      <c r="B51" s="53" t="s">
        <v>45</v>
      </c>
      <c r="C51" s="9">
        <v>1200</v>
      </c>
      <c r="D51" s="9"/>
      <c r="E51" s="9"/>
      <c r="F51" s="9"/>
      <c r="G51" s="9"/>
      <c r="H51" s="9">
        <f t="shared" si="7"/>
        <v>1200</v>
      </c>
    </row>
    <row r="52" spans="2:8" x14ac:dyDescent="0.25">
      <c r="B52" s="53" t="s">
        <v>46</v>
      </c>
      <c r="C52" s="9"/>
      <c r="D52" s="9"/>
      <c r="E52" s="9">
        <v>280</v>
      </c>
      <c r="F52" s="9"/>
      <c r="G52" s="9"/>
      <c r="H52" s="9">
        <f t="shared" si="7"/>
        <v>280</v>
      </c>
    </row>
    <row r="53" spans="2:8" x14ac:dyDescent="0.25">
      <c r="B53" s="53" t="s">
        <v>153</v>
      </c>
      <c r="C53" s="9"/>
      <c r="D53" s="9"/>
      <c r="E53" s="9">
        <f>110+30</f>
        <v>140</v>
      </c>
      <c r="F53" s="9"/>
      <c r="G53" s="9"/>
      <c r="H53" s="9">
        <f t="shared" si="7"/>
        <v>140</v>
      </c>
    </row>
    <row r="54" spans="2:8" x14ac:dyDescent="0.25">
      <c r="B54" s="53" t="s">
        <v>47</v>
      </c>
      <c r="C54" s="9"/>
      <c r="D54" s="9"/>
      <c r="E54" s="9"/>
      <c r="F54" s="9"/>
      <c r="G54" s="9"/>
      <c r="H54" s="9">
        <f t="shared" si="7"/>
        <v>0</v>
      </c>
    </row>
    <row r="55" spans="2:8" x14ac:dyDescent="0.25">
      <c r="B55" s="54" t="s">
        <v>48</v>
      </c>
      <c r="C55" s="9"/>
      <c r="D55" s="9"/>
      <c r="E55" s="9">
        <f>200-20+50</f>
        <v>230</v>
      </c>
      <c r="F55" s="9"/>
      <c r="G55" s="9"/>
      <c r="H55" s="9">
        <f t="shared" si="7"/>
        <v>230</v>
      </c>
    </row>
    <row r="56" spans="2:8" ht="15.75" thickBot="1" x14ac:dyDescent="0.3">
      <c r="B56" s="53" t="s">
        <v>49</v>
      </c>
      <c r="C56" s="55"/>
      <c r="D56" s="55"/>
      <c r="E56" s="9">
        <f>150+100+50+50+20+100</f>
        <v>470</v>
      </c>
      <c r="F56" s="9"/>
      <c r="G56" s="55"/>
      <c r="H56" s="9">
        <f t="shared" si="7"/>
        <v>470</v>
      </c>
    </row>
    <row r="57" spans="2:8" ht="15.75" thickBot="1" x14ac:dyDescent="0.3">
      <c r="B57" s="41" t="s">
        <v>50</v>
      </c>
      <c r="C57" s="42">
        <f>SUM(C58:C66)</f>
        <v>0</v>
      </c>
      <c r="D57" s="42"/>
      <c r="E57" s="42">
        <f t="shared" ref="E57" si="8">SUM(E58:E66)</f>
        <v>1376</v>
      </c>
      <c r="F57" s="42"/>
      <c r="G57" s="42"/>
      <c r="H57" s="44">
        <f>SUM(H58:H66)</f>
        <v>1376</v>
      </c>
    </row>
    <row r="58" spans="2:8" x14ac:dyDescent="0.25">
      <c r="B58" s="4" t="s">
        <v>51</v>
      </c>
      <c r="C58" s="7"/>
      <c r="D58" s="7"/>
      <c r="E58" s="7">
        <v>0</v>
      </c>
      <c r="F58" s="7"/>
      <c r="G58" s="7"/>
      <c r="H58" s="7">
        <f>SUM(C58:G58)</f>
        <v>0</v>
      </c>
    </row>
    <row r="59" spans="2:8" x14ac:dyDescent="0.25">
      <c r="B59" s="8" t="s">
        <v>52</v>
      </c>
      <c r="C59" s="9"/>
      <c r="D59" s="9"/>
      <c r="E59" s="9">
        <v>100</v>
      </c>
      <c r="F59" s="9"/>
      <c r="G59" s="9"/>
      <c r="H59" s="7">
        <f t="shared" ref="H59:H66" si="9">SUM(C59:G59)</f>
        <v>100</v>
      </c>
    </row>
    <row r="60" spans="2:8" x14ac:dyDescent="0.25">
      <c r="B60" s="8" t="s">
        <v>53</v>
      </c>
      <c r="C60" s="9"/>
      <c r="D60" s="9"/>
      <c r="E60" s="102">
        <v>600</v>
      </c>
      <c r="F60" s="9"/>
      <c r="G60" s="9"/>
      <c r="H60" s="7">
        <f t="shared" si="9"/>
        <v>600</v>
      </c>
    </row>
    <row r="61" spans="2:8" x14ac:dyDescent="0.25">
      <c r="B61" s="8" t="s">
        <v>54</v>
      </c>
      <c r="C61" s="9"/>
      <c r="D61" s="9"/>
      <c r="E61" s="102">
        <v>50</v>
      </c>
      <c r="F61" s="9"/>
      <c r="G61" s="9"/>
      <c r="H61" s="7">
        <f t="shared" si="9"/>
        <v>50</v>
      </c>
    </row>
    <row r="62" spans="2:8" x14ac:dyDescent="0.25">
      <c r="B62" s="8" t="s">
        <v>55</v>
      </c>
      <c r="C62" s="9"/>
      <c r="D62" s="9"/>
      <c r="E62" s="102">
        <v>100</v>
      </c>
      <c r="F62" s="9"/>
      <c r="G62" s="9"/>
      <c r="H62" s="7">
        <f t="shared" si="9"/>
        <v>100</v>
      </c>
    </row>
    <row r="63" spans="2:8" x14ac:dyDescent="0.25">
      <c r="B63" s="8" t="s">
        <v>56</v>
      </c>
      <c r="C63" s="9"/>
      <c r="D63" s="9"/>
      <c r="E63" s="102">
        <v>100</v>
      </c>
      <c r="F63" s="9"/>
      <c r="G63" s="9"/>
      <c r="H63" s="7">
        <f t="shared" si="9"/>
        <v>100</v>
      </c>
    </row>
    <row r="64" spans="2:8" x14ac:dyDescent="0.25">
      <c r="B64" s="8" t="s">
        <v>57</v>
      </c>
      <c r="C64" s="9"/>
      <c r="D64" s="9"/>
      <c r="E64" s="102">
        <v>100</v>
      </c>
      <c r="F64" s="9"/>
      <c r="G64" s="9"/>
      <c r="H64" s="7">
        <f t="shared" si="9"/>
        <v>100</v>
      </c>
    </row>
    <row r="65" spans="2:8" x14ac:dyDescent="0.25">
      <c r="B65" s="8" t="s">
        <v>58</v>
      </c>
      <c r="C65" s="9"/>
      <c r="D65" s="9"/>
      <c r="E65" s="9">
        <v>50</v>
      </c>
      <c r="F65" s="9"/>
      <c r="G65" s="9"/>
      <c r="H65" s="7">
        <f t="shared" si="9"/>
        <v>50</v>
      </c>
    </row>
    <row r="66" spans="2:8" ht="15.75" thickBot="1" x14ac:dyDescent="0.3">
      <c r="B66" s="12" t="s">
        <v>59</v>
      </c>
      <c r="C66" s="1"/>
      <c r="D66" s="1"/>
      <c r="E66" s="1">
        <f>76+200</f>
        <v>276</v>
      </c>
      <c r="F66" s="1"/>
      <c r="G66" s="1"/>
      <c r="H66" s="7">
        <f t="shared" si="9"/>
        <v>276</v>
      </c>
    </row>
    <row r="67" spans="2:8" ht="15.75" thickBot="1" x14ac:dyDescent="0.3">
      <c r="B67" s="41" t="s">
        <v>60</v>
      </c>
      <c r="C67" s="42">
        <f>SUM(C68:C91)</f>
        <v>20650</v>
      </c>
      <c r="D67" s="42">
        <f>SUM(D68:D91)</f>
        <v>120</v>
      </c>
      <c r="E67" s="42">
        <f>SUM(E68:E91)</f>
        <v>10794</v>
      </c>
      <c r="F67" s="42"/>
      <c r="G67" s="42"/>
      <c r="H67" s="44">
        <f>SUM(H68:H91)</f>
        <v>31564</v>
      </c>
    </row>
    <row r="68" spans="2:8" x14ac:dyDescent="0.25">
      <c r="B68" s="14" t="s">
        <v>165</v>
      </c>
      <c r="C68" s="7"/>
      <c r="D68" s="7"/>
      <c r="E68" s="7">
        <v>300</v>
      </c>
      <c r="F68" s="64"/>
      <c r="G68" s="64"/>
      <c r="H68" s="2">
        <f t="shared" ref="H68:H91" si="10">SUM(C68:G68)</f>
        <v>300</v>
      </c>
    </row>
    <row r="69" spans="2:8" x14ac:dyDescent="0.25">
      <c r="B69" s="14" t="s">
        <v>61</v>
      </c>
      <c r="C69" s="7"/>
      <c r="D69" s="7"/>
      <c r="E69" s="7">
        <f>300+250+50</f>
        <v>600</v>
      </c>
      <c r="F69" s="64"/>
      <c r="G69" s="64"/>
      <c r="H69" s="2">
        <f t="shared" si="10"/>
        <v>600</v>
      </c>
    </row>
    <row r="70" spans="2:8" x14ac:dyDescent="0.25">
      <c r="B70" s="8" t="s">
        <v>62</v>
      </c>
      <c r="C70" s="9"/>
      <c r="D70" s="9"/>
      <c r="E70" s="9">
        <v>480</v>
      </c>
      <c r="F70" s="64"/>
      <c r="G70" s="64"/>
      <c r="H70" s="2">
        <f t="shared" si="10"/>
        <v>480</v>
      </c>
    </row>
    <row r="71" spans="2:8" x14ac:dyDescent="0.25">
      <c r="B71" s="8" t="s">
        <v>63</v>
      </c>
      <c r="C71" s="9">
        <v>3500</v>
      </c>
      <c r="D71" s="9"/>
      <c r="E71" s="9"/>
      <c r="F71" s="64"/>
      <c r="G71" s="64"/>
      <c r="H71" s="2">
        <f t="shared" si="10"/>
        <v>3500</v>
      </c>
    </row>
    <row r="72" spans="2:8" x14ac:dyDescent="0.25">
      <c r="B72" s="8" t="s">
        <v>64</v>
      </c>
      <c r="C72" s="73">
        <v>7500</v>
      </c>
      <c r="D72" s="73"/>
      <c r="E72" s="9"/>
      <c r="F72" s="64"/>
      <c r="G72" s="64"/>
      <c r="H72" s="2">
        <f t="shared" si="10"/>
        <v>7500</v>
      </c>
    </row>
    <row r="73" spans="2:8" x14ac:dyDescent="0.25">
      <c r="B73" s="8" t="s">
        <v>65</v>
      </c>
      <c r="C73" s="9"/>
      <c r="D73" s="9"/>
      <c r="E73" s="66">
        <f>200+100+150</f>
        <v>450</v>
      </c>
      <c r="F73" s="96"/>
      <c r="G73" s="64"/>
      <c r="H73" s="2">
        <f t="shared" si="10"/>
        <v>450</v>
      </c>
    </row>
    <row r="74" spans="2:8" x14ac:dyDescent="0.25">
      <c r="B74" s="8" t="s">
        <v>66</v>
      </c>
      <c r="C74" s="9">
        <f>4800-500</f>
        <v>4300</v>
      </c>
      <c r="D74" s="9"/>
      <c r="E74" s="73">
        <f>450+250+550+700</f>
        <v>1950</v>
      </c>
      <c r="F74" s="97"/>
      <c r="G74" s="64"/>
      <c r="H74" s="2">
        <f t="shared" si="10"/>
        <v>6250</v>
      </c>
    </row>
    <row r="75" spans="2:8" x14ac:dyDescent="0.25">
      <c r="B75" s="8" t="s">
        <v>67</v>
      </c>
      <c r="C75" s="9"/>
      <c r="D75" s="9"/>
      <c r="E75" s="9">
        <f>400-150-50</f>
        <v>200</v>
      </c>
      <c r="F75" s="64"/>
      <c r="G75" s="64"/>
      <c r="H75" s="2">
        <f t="shared" si="10"/>
        <v>200</v>
      </c>
    </row>
    <row r="76" spans="2:8" x14ac:dyDescent="0.25">
      <c r="B76" s="8" t="s">
        <v>68</v>
      </c>
      <c r="C76" s="9"/>
      <c r="D76" s="9"/>
      <c r="E76" s="9">
        <f>100-100</f>
        <v>0</v>
      </c>
      <c r="F76" s="64"/>
      <c r="G76" s="64"/>
      <c r="H76" s="2">
        <f t="shared" si="10"/>
        <v>0</v>
      </c>
    </row>
    <row r="77" spans="2:8" x14ac:dyDescent="0.25">
      <c r="B77" s="8" t="s">
        <v>69</v>
      </c>
      <c r="C77" s="9"/>
      <c r="D77" s="9"/>
      <c r="E77" s="9">
        <v>100</v>
      </c>
      <c r="F77" s="64"/>
      <c r="G77" s="64"/>
      <c r="H77" s="2">
        <f t="shared" si="10"/>
        <v>100</v>
      </c>
    </row>
    <row r="78" spans="2:8" x14ac:dyDescent="0.25">
      <c r="B78" s="8" t="s">
        <v>70</v>
      </c>
      <c r="C78" s="9"/>
      <c r="D78" s="9"/>
      <c r="E78" s="9">
        <f>100+100</f>
        <v>200</v>
      </c>
      <c r="F78" s="64"/>
      <c r="G78" s="64"/>
      <c r="H78" s="2">
        <f t="shared" si="10"/>
        <v>200</v>
      </c>
    </row>
    <row r="79" spans="2:8" x14ac:dyDescent="0.25">
      <c r="B79" s="8" t="s">
        <v>71</v>
      </c>
      <c r="C79" s="9"/>
      <c r="D79" s="9"/>
      <c r="E79" s="9">
        <v>100</v>
      </c>
      <c r="F79" s="64"/>
      <c r="G79" s="64"/>
      <c r="H79" s="2">
        <f t="shared" si="10"/>
        <v>100</v>
      </c>
    </row>
    <row r="80" spans="2:8" x14ac:dyDescent="0.25">
      <c r="B80" s="8" t="s">
        <v>72</v>
      </c>
      <c r="C80" s="9">
        <f>200-50</f>
        <v>150</v>
      </c>
      <c r="D80" s="9"/>
      <c r="E80" s="9"/>
      <c r="F80" s="64"/>
      <c r="G80" s="64"/>
      <c r="H80" s="2">
        <f t="shared" si="10"/>
        <v>150</v>
      </c>
    </row>
    <row r="81" spans="2:8" x14ac:dyDescent="0.25">
      <c r="B81" s="8" t="s">
        <v>73</v>
      </c>
      <c r="C81" s="9"/>
      <c r="D81" s="9">
        <v>60</v>
      </c>
      <c r="E81" s="9">
        <v>600</v>
      </c>
      <c r="F81" s="64"/>
      <c r="G81" s="64"/>
      <c r="H81" s="2">
        <f t="shared" si="10"/>
        <v>660</v>
      </c>
    </row>
    <row r="82" spans="2:8" x14ac:dyDescent="0.25">
      <c r="B82" s="8" t="s">
        <v>74</v>
      </c>
      <c r="C82" s="9"/>
      <c r="D82" s="9"/>
      <c r="E82" s="9">
        <v>400</v>
      </c>
      <c r="F82" s="64"/>
      <c r="G82" s="64"/>
      <c r="H82" s="2">
        <f t="shared" si="10"/>
        <v>400</v>
      </c>
    </row>
    <row r="83" spans="2:8" x14ac:dyDescent="0.25">
      <c r="B83" s="8" t="s">
        <v>75</v>
      </c>
      <c r="C83" s="9"/>
      <c r="D83" s="9"/>
      <c r="E83" s="9">
        <v>50</v>
      </c>
      <c r="F83" s="64"/>
      <c r="G83" s="64"/>
      <c r="H83" s="2">
        <f t="shared" si="10"/>
        <v>50</v>
      </c>
    </row>
    <row r="84" spans="2:8" x14ac:dyDescent="0.25">
      <c r="B84" s="8" t="s">
        <v>76</v>
      </c>
      <c r="C84" s="16"/>
      <c r="D84" s="16"/>
      <c r="E84" s="9">
        <v>1000</v>
      </c>
      <c r="F84" s="64"/>
      <c r="G84" s="64"/>
      <c r="H84" s="2">
        <f t="shared" si="10"/>
        <v>1000</v>
      </c>
    </row>
    <row r="85" spans="2:8" x14ac:dyDescent="0.25">
      <c r="B85" s="15" t="s">
        <v>77</v>
      </c>
      <c r="C85" s="16"/>
      <c r="D85" s="16"/>
      <c r="E85" s="9">
        <f>150-50</f>
        <v>100</v>
      </c>
      <c r="F85" s="64"/>
      <c r="G85" s="64"/>
      <c r="H85" s="2">
        <f t="shared" si="10"/>
        <v>100</v>
      </c>
    </row>
    <row r="86" spans="2:8" x14ac:dyDescent="0.25">
      <c r="B86" s="6" t="s">
        <v>78</v>
      </c>
      <c r="C86" s="9"/>
      <c r="D86" s="9"/>
      <c r="E86" s="9">
        <v>1500</v>
      </c>
      <c r="F86" s="64"/>
      <c r="G86" s="64"/>
      <c r="H86" s="2">
        <f t="shared" si="10"/>
        <v>1500</v>
      </c>
    </row>
    <row r="87" spans="2:8" x14ac:dyDescent="0.25">
      <c r="B87" s="8" t="s">
        <v>79</v>
      </c>
      <c r="C87" s="9"/>
      <c r="D87" s="9"/>
      <c r="E87" s="9">
        <f>600-C84251</f>
        <v>600</v>
      </c>
      <c r="F87" s="64"/>
      <c r="G87" s="64"/>
      <c r="H87" s="2">
        <f t="shared" si="10"/>
        <v>600</v>
      </c>
    </row>
    <row r="88" spans="2:8" x14ac:dyDescent="0.25">
      <c r="B88" s="8" t="s">
        <v>80</v>
      </c>
      <c r="C88" s="9">
        <v>5200</v>
      </c>
      <c r="D88" s="9"/>
      <c r="E88" s="9"/>
      <c r="F88" s="64"/>
      <c r="G88" s="64"/>
      <c r="H88" s="2">
        <f t="shared" si="10"/>
        <v>5200</v>
      </c>
    </row>
    <row r="89" spans="2:8" x14ac:dyDescent="0.25">
      <c r="B89" s="8" t="s">
        <v>81</v>
      </c>
      <c r="C89" s="9"/>
      <c r="D89" s="9"/>
      <c r="E89" s="9">
        <v>444</v>
      </c>
      <c r="F89" s="64"/>
      <c r="G89" s="64"/>
      <c r="H89" s="2">
        <f t="shared" si="10"/>
        <v>444</v>
      </c>
    </row>
    <row r="90" spans="2:8" x14ac:dyDescent="0.25">
      <c r="B90" s="8" t="s">
        <v>82</v>
      </c>
      <c r="C90" s="9"/>
      <c r="D90" s="9"/>
      <c r="E90" s="9">
        <v>100</v>
      </c>
      <c r="F90" s="64"/>
      <c r="G90" s="64"/>
      <c r="H90" s="2">
        <f t="shared" si="10"/>
        <v>100</v>
      </c>
    </row>
    <row r="91" spans="2:8" ht="15.75" thickBot="1" x14ac:dyDescent="0.3">
      <c r="B91" s="12" t="s">
        <v>83</v>
      </c>
      <c r="C91" s="1"/>
      <c r="D91" s="1">
        <v>60</v>
      </c>
      <c r="E91" s="1">
        <f>1800-280+100</f>
        <v>1620</v>
      </c>
      <c r="F91" s="37"/>
      <c r="G91" s="37"/>
      <c r="H91" s="2">
        <f t="shared" si="10"/>
        <v>1680</v>
      </c>
    </row>
    <row r="92" spans="2:8" ht="15.75" thickBot="1" x14ac:dyDescent="0.3">
      <c r="B92" s="41" t="s">
        <v>84</v>
      </c>
      <c r="C92" s="45">
        <f>SUM(C93:C98)</f>
        <v>1650</v>
      </c>
      <c r="D92" s="45"/>
      <c r="E92" s="45">
        <f t="shared" ref="E92:G92" si="11">SUM(E93:E98)</f>
        <v>7900</v>
      </c>
      <c r="F92" s="45"/>
      <c r="G92" s="45">
        <f t="shared" si="11"/>
        <v>0</v>
      </c>
      <c r="H92" s="45">
        <f>SUM(H93:H98)</f>
        <v>9550</v>
      </c>
    </row>
    <row r="93" spans="2:8" x14ac:dyDescent="0.25">
      <c r="B93" s="6" t="s">
        <v>85</v>
      </c>
      <c r="C93" s="7">
        <f>500-450</f>
        <v>50</v>
      </c>
      <c r="D93" s="7"/>
      <c r="E93" s="7">
        <v>50</v>
      </c>
      <c r="F93" s="64"/>
      <c r="G93" s="64"/>
      <c r="H93" s="78">
        <f>SUM(C93:G93)</f>
        <v>100</v>
      </c>
    </row>
    <row r="94" spans="2:8" x14ac:dyDescent="0.25">
      <c r="B94" s="8" t="s">
        <v>86</v>
      </c>
      <c r="C94" s="9">
        <v>600</v>
      </c>
      <c r="D94" s="9"/>
      <c r="E94" s="9"/>
      <c r="F94" s="64"/>
      <c r="G94" s="64"/>
      <c r="H94" s="9">
        <f t="shared" ref="H94:H98" si="12">SUM(C94:G94)</f>
        <v>600</v>
      </c>
    </row>
    <row r="95" spans="2:8" x14ac:dyDescent="0.25">
      <c r="B95" s="8" t="s">
        <v>157</v>
      </c>
      <c r="C95" s="9"/>
      <c r="D95" s="9"/>
      <c r="E95" s="9">
        <f>2000+800+1000</f>
        <v>3800</v>
      </c>
      <c r="F95" s="64"/>
      <c r="G95" s="64"/>
      <c r="H95" s="9">
        <f t="shared" si="12"/>
        <v>3800</v>
      </c>
    </row>
    <row r="96" spans="2:8" x14ac:dyDescent="0.25">
      <c r="B96" s="8" t="s">
        <v>87</v>
      </c>
      <c r="C96" s="9">
        <v>1000</v>
      </c>
      <c r="D96" s="9"/>
      <c r="E96" s="9">
        <f>200+300+500</f>
        <v>1000</v>
      </c>
      <c r="F96" s="64"/>
      <c r="G96" s="64"/>
      <c r="H96" s="9">
        <f t="shared" si="12"/>
        <v>2000</v>
      </c>
    </row>
    <row r="97" spans="2:8" x14ac:dyDescent="0.25">
      <c r="B97" s="8" t="s">
        <v>88</v>
      </c>
      <c r="C97" s="9"/>
      <c r="D97" s="9"/>
      <c r="E97" s="9">
        <v>50</v>
      </c>
      <c r="F97" s="64"/>
      <c r="G97" s="64"/>
      <c r="H97" s="9">
        <f t="shared" si="12"/>
        <v>50</v>
      </c>
    </row>
    <row r="98" spans="2:8" ht="15.75" thickBot="1" x14ac:dyDescent="0.3">
      <c r="B98" s="12" t="s">
        <v>89</v>
      </c>
      <c r="C98" s="1"/>
      <c r="D98" s="1"/>
      <c r="E98" s="74">
        <f>3500-500</f>
        <v>3000</v>
      </c>
      <c r="F98" s="98"/>
      <c r="G98" s="37"/>
      <c r="H98" s="2">
        <f t="shared" si="12"/>
        <v>3000</v>
      </c>
    </row>
    <row r="99" spans="2:8" ht="15.75" thickBot="1" x14ac:dyDescent="0.3">
      <c r="B99" s="41" t="s">
        <v>90</v>
      </c>
      <c r="C99" s="45">
        <f>SUM(C100:C123)</f>
        <v>25260</v>
      </c>
      <c r="D99" s="45"/>
      <c r="E99" s="45">
        <f t="shared" ref="E99:H99" si="13">SUM(E100:E123)</f>
        <v>1860</v>
      </c>
      <c r="F99" s="45">
        <f>SUM(F100:F123)</f>
        <v>500</v>
      </c>
      <c r="G99" s="45">
        <f t="shared" si="13"/>
        <v>0</v>
      </c>
      <c r="H99" s="45">
        <f t="shared" si="13"/>
        <v>27620</v>
      </c>
    </row>
    <row r="100" spans="2:8" x14ac:dyDescent="0.25">
      <c r="B100" s="6" t="s">
        <v>91</v>
      </c>
      <c r="C100" s="75">
        <v>800</v>
      </c>
      <c r="D100" s="75"/>
      <c r="E100" s="7"/>
      <c r="F100" s="7"/>
      <c r="G100" s="7"/>
      <c r="H100" s="9">
        <f>SUM(C100:G100)</f>
        <v>800</v>
      </c>
    </row>
    <row r="101" spans="2:8" x14ac:dyDescent="0.25">
      <c r="B101" s="8" t="s">
        <v>92</v>
      </c>
      <c r="C101" s="73">
        <v>200</v>
      </c>
      <c r="D101" s="73"/>
      <c r="E101" s="9"/>
      <c r="F101" s="9"/>
      <c r="G101" s="9"/>
      <c r="H101" s="9">
        <f t="shared" ref="H101:H123" si="14">SUM(C101:G101)</f>
        <v>200</v>
      </c>
    </row>
    <row r="102" spans="2:8" x14ac:dyDescent="0.25">
      <c r="B102" s="8" t="s">
        <v>149</v>
      </c>
      <c r="C102" s="73">
        <v>1290</v>
      </c>
      <c r="D102" s="73"/>
      <c r="E102" s="9"/>
      <c r="F102" s="9"/>
      <c r="G102" s="9"/>
      <c r="H102" s="9">
        <f t="shared" si="14"/>
        <v>1290</v>
      </c>
    </row>
    <row r="103" spans="2:8" x14ac:dyDescent="0.25">
      <c r="B103" s="8" t="s">
        <v>93</v>
      </c>
      <c r="C103" s="73">
        <v>200</v>
      </c>
      <c r="D103" s="73"/>
      <c r="E103" s="9"/>
      <c r="F103" s="9"/>
      <c r="G103" s="9"/>
      <c r="H103" s="9">
        <f t="shared" si="14"/>
        <v>200</v>
      </c>
    </row>
    <row r="104" spans="2:8" x14ac:dyDescent="0.25">
      <c r="B104" s="8" t="s">
        <v>94</v>
      </c>
      <c r="C104" s="73">
        <v>800</v>
      </c>
      <c r="D104" s="73"/>
      <c r="E104" s="9"/>
      <c r="F104" s="9"/>
      <c r="G104" s="9"/>
      <c r="H104" s="9">
        <f t="shared" si="14"/>
        <v>800</v>
      </c>
    </row>
    <row r="105" spans="2:8" x14ac:dyDescent="0.25">
      <c r="B105" s="8" t="s">
        <v>95</v>
      </c>
      <c r="C105" s="73">
        <v>300</v>
      </c>
      <c r="D105" s="73"/>
      <c r="E105" s="9"/>
      <c r="F105" s="9"/>
      <c r="G105" s="9"/>
      <c r="H105" s="9">
        <f t="shared" si="14"/>
        <v>300</v>
      </c>
    </row>
    <row r="106" spans="2:8" x14ac:dyDescent="0.25">
      <c r="B106" s="8" t="s">
        <v>96</v>
      </c>
      <c r="C106" s="73">
        <v>1250</v>
      </c>
      <c r="D106" s="73"/>
      <c r="E106" s="9">
        <v>10</v>
      </c>
      <c r="F106" s="9"/>
      <c r="G106" s="9"/>
      <c r="H106" s="9">
        <f t="shared" si="14"/>
        <v>1260</v>
      </c>
    </row>
    <row r="107" spans="2:8" x14ac:dyDescent="0.25">
      <c r="B107" s="8" t="s">
        <v>160</v>
      </c>
      <c r="C107" s="73">
        <v>0</v>
      </c>
      <c r="D107" s="73"/>
      <c r="E107" s="9"/>
      <c r="F107" s="9"/>
      <c r="G107" s="9"/>
      <c r="H107" s="9">
        <f t="shared" si="14"/>
        <v>0</v>
      </c>
    </row>
    <row r="108" spans="2:8" x14ac:dyDescent="0.25">
      <c r="B108" s="8" t="s">
        <v>97</v>
      </c>
      <c r="C108" s="73">
        <v>1200</v>
      </c>
      <c r="D108" s="73"/>
      <c r="E108" s="9"/>
      <c r="F108" s="9"/>
      <c r="G108" s="9"/>
      <c r="H108" s="9">
        <f t="shared" si="14"/>
        <v>1200</v>
      </c>
    </row>
    <row r="109" spans="2:8" x14ac:dyDescent="0.25">
      <c r="B109" s="8" t="s">
        <v>98</v>
      </c>
      <c r="C109" s="73">
        <v>1200</v>
      </c>
      <c r="D109" s="73"/>
      <c r="E109" s="9"/>
      <c r="F109" s="9"/>
      <c r="G109" s="9"/>
      <c r="H109" s="9">
        <f t="shared" si="14"/>
        <v>1200</v>
      </c>
    </row>
    <row r="110" spans="2:8" x14ac:dyDescent="0.25">
      <c r="B110" s="8" t="s">
        <v>99</v>
      </c>
      <c r="C110" s="102">
        <f>5000+1000</f>
        <v>6000</v>
      </c>
      <c r="D110" s="9"/>
      <c r="E110" s="9"/>
      <c r="F110" s="9"/>
      <c r="G110" s="9"/>
      <c r="H110" s="9">
        <f t="shared" si="14"/>
        <v>6000</v>
      </c>
    </row>
    <row r="111" spans="2:8" x14ac:dyDescent="0.25">
      <c r="B111" s="8" t="s">
        <v>100</v>
      </c>
      <c r="C111" s="9"/>
      <c r="D111" s="9"/>
      <c r="E111" s="9">
        <v>100</v>
      </c>
      <c r="F111" s="9"/>
      <c r="G111" s="9"/>
      <c r="H111" s="9">
        <f t="shared" si="14"/>
        <v>100</v>
      </c>
    </row>
    <row r="112" spans="2:8" x14ac:dyDescent="0.25">
      <c r="B112" s="8" t="s">
        <v>161</v>
      </c>
      <c r="C112" s="9"/>
      <c r="D112" s="9"/>
      <c r="E112" s="9"/>
      <c r="F112" s="9"/>
      <c r="G112" s="9"/>
      <c r="H112" s="9">
        <f t="shared" si="14"/>
        <v>0</v>
      </c>
    </row>
    <row r="113" spans="2:12" x14ac:dyDescent="0.25">
      <c r="B113" s="8" t="s">
        <v>101</v>
      </c>
      <c r="C113" s="73">
        <v>900</v>
      </c>
      <c r="D113" s="73"/>
      <c r="E113" s="9"/>
      <c r="F113" s="9"/>
      <c r="G113" s="9"/>
      <c r="H113" s="9">
        <f t="shared" si="14"/>
        <v>900</v>
      </c>
    </row>
    <row r="114" spans="2:12" x14ac:dyDescent="0.25">
      <c r="B114" s="8" t="s">
        <v>102</v>
      </c>
      <c r="C114" s="73">
        <v>1200</v>
      </c>
      <c r="D114" s="73"/>
      <c r="E114" s="9"/>
      <c r="F114" s="9"/>
      <c r="G114" s="9"/>
      <c r="H114" s="9">
        <f t="shared" si="14"/>
        <v>1200</v>
      </c>
    </row>
    <row r="115" spans="2:12" x14ac:dyDescent="0.25">
      <c r="B115" s="8" t="s">
        <v>103</v>
      </c>
      <c r="C115" s="73">
        <v>100</v>
      </c>
      <c r="D115" s="73"/>
      <c r="E115" s="9"/>
      <c r="F115" s="9"/>
      <c r="G115" s="9"/>
      <c r="H115" s="9">
        <f t="shared" si="14"/>
        <v>100</v>
      </c>
    </row>
    <row r="116" spans="2:12" x14ac:dyDescent="0.25">
      <c r="B116" s="8" t="s">
        <v>104</v>
      </c>
      <c r="C116" s="9">
        <v>500</v>
      </c>
      <c r="D116" s="9"/>
      <c r="E116" s="9">
        <f>500+50</f>
        <v>550</v>
      </c>
      <c r="F116" s="9"/>
      <c r="G116" s="9"/>
      <c r="H116" s="9">
        <f t="shared" si="14"/>
        <v>1050</v>
      </c>
    </row>
    <row r="117" spans="2:12" x14ac:dyDescent="0.25">
      <c r="B117" s="8" t="s">
        <v>105</v>
      </c>
      <c r="C117" s="73">
        <v>200</v>
      </c>
      <c r="D117" s="73"/>
      <c r="E117" s="9"/>
      <c r="F117" s="9"/>
      <c r="G117" s="9"/>
      <c r="H117" s="9">
        <f t="shared" si="14"/>
        <v>200</v>
      </c>
    </row>
    <row r="118" spans="2:12" x14ac:dyDescent="0.25">
      <c r="B118" s="8" t="s">
        <v>106</v>
      </c>
      <c r="C118" s="73">
        <v>1200</v>
      </c>
      <c r="D118" s="73"/>
      <c r="E118" s="9"/>
      <c r="F118" s="9"/>
      <c r="G118" s="9"/>
      <c r="H118" s="9">
        <f t="shared" si="14"/>
        <v>1200</v>
      </c>
    </row>
    <row r="119" spans="2:12" x14ac:dyDescent="0.25">
      <c r="B119" s="8" t="s">
        <v>107</v>
      </c>
      <c r="C119" s="73">
        <f>4100-100</f>
        <v>4000</v>
      </c>
      <c r="D119" s="104"/>
      <c r="E119" s="9"/>
      <c r="F119" s="9">
        <v>500</v>
      </c>
      <c r="G119" s="9"/>
      <c r="H119" s="9">
        <f t="shared" si="14"/>
        <v>4500</v>
      </c>
    </row>
    <row r="120" spans="2:12" x14ac:dyDescent="0.25">
      <c r="B120" s="23" t="s">
        <v>108</v>
      </c>
      <c r="C120" s="9">
        <f>1850+340+258+64+120-250-300-82+220-100</f>
        <v>2120</v>
      </c>
      <c r="D120" s="102"/>
      <c r="E120" s="9"/>
      <c r="F120" s="9"/>
      <c r="G120" s="9"/>
      <c r="H120" s="9">
        <f t="shared" si="14"/>
        <v>2120</v>
      </c>
    </row>
    <row r="121" spans="2:12" x14ac:dyDescent="0.25">
      <c r="B121" s="8" t="s">
        <v>109</v>
      </c>
      <c r="C121" s="9">
        <v>900</v>
      </c>
      <c r="D121" s="9"/>
      <c r="E121" s="9"/>
      <c r="F121" s="9"/>
      <c r="G121" s="9"/>
      <c r="H121" s="9">
        <f t="shared" si="14"/>
        <v>900</v>
      </c>
    </row>
    <row r="122" spans="2:12" x14ac:dyDescent="0.25">
      <c r="B122" s="8" t="s">
        <v>110</v>
      </c>
      <c r="C122" s="9"/>
      <c r="D122" s="9"/>
      <c r="E122" s="9">
        <v>1200</v>
      </c>
      <c r="F122" s="9"/>
      <c r="G122" s="9"/>
      <c r="H122" s="9">
        <f t="shared" si="14"/>
        <v>1200</v>
      </c>
      <c r="L122" s="56"/>
    </row>
    <row r="123" spans="2:12" ht="15.75" thickBot="1" x14ac:dyDescent="0.3">
      <c r="B123" s="12" t="s">
        <v>111</v>
      </c>
      <c r="C123" s="36">
        <v>900</v>
      </c>
      <c r="D123" s="36"/>
      <c r="E123" s="1"/>
      <c r="F123" s="1"/>
      <c r="G123" s="36"/>
      <c r="H123" s="9">
        <f t="shared" si="14"/>
        <v>900</v>
      </c>
    </row>
    <row r="124" spans="2:12" ht="15.75" thickBot="1" x14ac:dyDescent="0.3">
      <c r="B124" s="41" t="s">
        <v>112</v>
      </c>
      <c r="C124" s="45">
        <f>SUM(C125:C145)</f>
        <v>188632</v>
      </c>
      <c r="D124" s="45"/>
      <c r="E124" s="45">
        <f t="shared" ref="E124" si="15">SUM(E125:E145)</f>
        <v>5970</v>
      </c>
      <c r="F124" s="45"/>
      <c r="G124" s="45"/>
      <c r="H124" s="45">
        <f>SUM(H125:H145)</f>
        <v>194602</v>
      </c>
      <c r="L124" s="56"/>
    </row>
    <row r="125" spans="2:12" x14ac:dyDescent="0.25">
      <c r="B125" s="6" t="s">
        <v>113</v>
      </c>
      <c r="C125" s="7">
        <v>5700</v>
      </c>
      <c r="D125" s="7"/>
      <c r="E125" s="7">
        <v>150</v>
      </c>
      <c r="F125" s="7"/>
      <c r="G125" s="7"/>
      <c r="H125" s="9">
        <f>SUM(C125:G125)</f>
        <v>5850</v>
      </c>
    </row>
    <row r="126" spans="2:12" x14ac:dyDescent="0.25">
      <c r="B126" s="8" t="s">
        <v>114</v>
      </c>
      <c r="C126" s="73">
        <v>350</v>
      </c>
      <c r="D126" s="73"/>
      <c r="E126" s="9"/>
      <c r="F126" s="9"/>
      <c r="G126" s="9"/>
      <c r="H126" s="9">
        <f t="shared" ref="H126:H145" si="16">SUM(C126:G126)</f>
        <v>350</v>
      </c>
    </row>
    <row r="127" spans="2:12" x14ac:dyDescent="0.25">
      <c r="B127" s="8" t="s">
        <v>162</v>
      </c>
      <c r="C127" s="73">
        <v>100</v>
      </c>
      <c r="D127" s="73"/>
      <c r="E127" s="9"/>
      <c r="F127" s="9"/>
      <c r="G127" s="9"/>
      <c r="H127" s="9">
        <f t="shared" si="16"/>
        <v>100</v>
      </c>
    </row>
    <row r="128" spans="2:12" x14ac:dyDescent="0.25">
      <c r="B128" s="8" t="s">
        <v>115</v>
      </c>
      <c r="C128" s="73">
        <v>700</v>
      </c>
      <c r="D128" s="73"/>
      <c r="E128" s="9"/>
      <c r="F128" s="9"/>
      <c r="G128" s="9"/>
      <c r="H128" s="9">
        <f t="shared" si="16"/>
        <v>700</v>
      </c>
    </row>
    <row r="129" spans="2:8" x14ac:dyDescent="0.25">
      <c r="B129" s="8" t="s">
        <v>116</v>
      </c>
      <c r="C129" s="9"/>
      <c r="D129" s="9"/>
      <c r="E129" s="9">
        <v>20</v>
      </c>
      <c r="F129" s="9"/>
      <c r="G129" s="9"/>
      <c r="H129" s="9">
        <f t="shared" si="16"/>
        <v>20</v>
      </c>
    </row>
    <row r="130" spans="2:8" x14ac:dyDescent="0.25">
      <c r="B130" s="8" t="s">
        <v>117</v>
      </c>
      <c r="C130" s="9"/>
      <c r="D130" s="9"/>
      <c r="E130" s="9">
        <v>200</v>
      </c>
      <c r="F130" s="9"/>
      <c r="G130" s="9"/>
      <c r="H130" s="9">
        <f t="shared" si="16"/>
        <v>200</v>
      </c>
    </row>
    <row r="131" spans="2:8" x14ac:dyDescent="0.25">
      <c r="B131" s="8" t="s">
        <v>118</v>
      </c>
      <c r="C131" s="9"/>
      <c r="D131" s="9"/>
      <c r="E131" s="9">
        <v>500</v>
      </c>
      <c r="F131" s="9"/>
      <c r="G131" s="9"/>
      <c r="H131" s="9">
        <f t="shared" si="16"/>
        <v>500</v>
      </c>
    </row>
    <row r="132" spans="2:8" x14ac:dyDescent="0.25">
      <c r="B132" s="8" t="s">
        <v>119</v>
      </c>
      <c r="C132" s="73">
        <f>8500+1500+72+965</f>
        <v>11037</v>
      </c>
      <c r="D132" s="104"/>
      <c r="E132" s="102">
        <v>1000</v>
      </c>
      <c r="F132" s="9"/>
      <c r="G132" s="9"/>
      <c r="H132" s="9">
        <f t="shared" si="16"/>
        <v>12037</v>
      </c>
    </row>
    <row r="133" spans="2:8" x14ac:dyDescent="0.25">
      <c r="B133" s="8" t="s">
        <v>163</v>
      </c>
      <c r="C133" s="9">
        <v>900</v>
      </c>
      <c r="D133" s="9"/>
      <c r="E133" s="9"/>
      <c r="F133" s="9"/>
      <c r="G133" s="9"/>
      <c r="H133" s="9">
        <f t="shared" si="16"/>
        <v>900</v>
      </c>
    </row>
    <row r="134" spans="2:8" x14ac:dyDescent="0.25">
      <c r="B134" s="8" t="s">
        <v>120</v>
      </c>
      <c r="C134" s="9">
        <v>1200</v>
      </c>
      <c r="D134" s="9"/>
      <c r="E134" s="9"/>
      <c r="F134" s="9"/>
      <c r="G134" s="9"/>
      <c r="H134" s="9">
        <f t="shared" si="16"/>
        <v>1200</v>
      </c>
    </row>
    <row r="135" spans="2:8" x14ac:dyDescent="0.25">
      <c r="B135" s="23" t="s">
        <v>121</v>
      </c>
      <c r="C135" s="73">
        <f>21800+5000+5700</f>
        <v>32500</v>
      </c>
      <c r="D135" s="104"/>
      <c r="E135" s="9">
        <f>1000-200</f>
        <v>800</v>
      </c>
      <c r="F135" s="9"/>
      <c r="G135" s="9"/>
      <c r="H135" s="9">
        <f t="shared" si="16"/>
        <v>33300</v>
      </c>
    </row>
    <row r="136" spans="2:8" x14ac:dyDescent="0.25">
      <c r="B136" s="8" t="s">
        <v>122</v>
      </c>
      <c r="C136" s="66">
        <f>53648+7892</f>
        <v>61540</v>
      </c>
      <c r="D136" s="108"/>
      <c r="E136" s="9">
        <f>1000-200</f>
        <v>800</v>
      </c>
      <c r="F136" s="9"/>
      <c r="G136" s="66"/>
      <c r="H136" s="9">
        <f t="shared" si="16"/>
        <v>62340</v>
      </c>
    </row>
    <row r="137" spans="2:8" x14ac:dyDescent="0.25">
      <c r="B137" s="8" t="s">
        <v>158</v>
      </c>
      <c r="C137" s="66">
        <f>33077+3200+29000</f>
        <v>65277</v>
      </c>
      <c r="D137" s="66"/>
      <c r="E137" s="9">
        <v>500</v>
      </c>
      <c r="F137" s="9"/>
      <c r="G137" s="9"/>
      <c r="H137" s="9">
        <f t="shared" si="16"/>
        <v>65777</v>
      </c>
    </row>
    <row r="138" spans="2:8" x14ac:dyDescent="0.25">
      <c r="B138" s="8" t="s">
        <v>123</v>
      </c>
      <c r="C138" s="90">
        <v>1200</v>
      </c>
      <c r="D138" s="90"/>
      <c r="E138" s="103">
        <f>1000-500+500</f>
        <v>1000</v>
      </c>
      <c r="F138" s="90"/>
      <c r="G138" s="13"/>
      <c r="H138" s="9">
        <f t="shared" si="16"/>
        <v>2200</v>
      </c>
    </row>
    <row r="139" spans="2:8" x14ac:dyDescent="0.25">
      <c r="B139" s="8" t="s">
        <v>124</v>
      </c>
      <c r="C139" s="9">
        <v>3100</v>
      </c>
      <c r="D139" s="9"/>
      <c r="E139" s="9"/>
      <c r="F139" s="9"/>
      <c r="G139" s="9"/>
      <c r="H139" s="9">
        <f t="shared" si="16"/>
        <v>3100</v>
      </c>
    </row>
    <row r="140" spans="2:8" x14ac:dyDescent="0.25">
      <c r="B140" s="8" t="s">
        <v>125</v>
      </c>
      <c r="C140" s="9">
        <v>1800</v>
      </c>
      <c r="D140" s="9"/>
      <c r="E140" s="9"/>
      <c r="F140" s="9"/>
      <c r="G140" s="9"/>
      <c r="H140" s="9">
        <f t="shared" si="16"/>
        <v>1800</v>
      </c>
    </row>
    <row r="141" spans="2:8" x14ac:dyDescent="0.25">
      <c r="B141" s="8" t="s">
        <v>164</v>
      </c>
      <c r="C141" s="9">
        <f>166-38</f>
        <v>128</v>
      </c>
      <c r="D141" s="102"/>
      <c r="E141" s="9"/>
      <c r="F141" s="9"/>
      <c r="G141" s="9"/>
      <c r="H141" s="9">
        <f t="shared" si="16"/>
        <v>128</v>
      </c>
    </row>
    <row r="142" spans="2:8" x14ac:dyDescent="0.25">
      <c r="B142" s="8" t="s">
        <v>126</v>
      </c>
      <c r="C142" s="9">
        <v>1200</v>
      </c>
      <c r="D142" s="9"/>
      <c r="E142" s="9">
        <v>100</v>
      </c>
      <c r="F142" s="9"/>
      <c r="G142" s="9"/>
      <c r="H142" s="9">
        <f t="shared" si="16"/>
        <v>1300</v>
      </c>
    </row>
    <row r="143" spans="2:8" x14ac:dyDescent="0.25">
      <c r="B143" s="8" t="s">
        <v>127</v>
      </c>
      <c r="C143" s="9">
        <v>1600</v>
      </c>
      <c r="D143" s="9"/>
      <c r="E143" s="9"/>
      <c r="F143" s="9"/>
      <c r="G143" s="9"/>
      <c r="H143" s="9">
        <f t="shared" si="16"/>
        <v>1600</v>
      </c>
    </row>
    <row r="144" spans="2:8" x14ac:dyDescent="0.25">
      <c r="B144" s="8" t="s">
        <v>128</v>
      </c>
      <c r="C144" s="66">
        <f>400-100</f>
        <v>300</v>
      </c>
      <c r="D144" s="66"/>
      <c r="E144" s="9">
        <v>100</v>
      </c>
      <c r="F144" s="9"/>
      <c r="G144" s="9"/>
      <c r="H144" s="9">
        <f>SUM(C144:G144)</f>
        <v>400</v>
      </c>
    </row>
    <row r="145" spans="2:8" ht="15.75" thickBot="1" x14ac:dyDescent="0.3">
      <c r="B145" s="17" t="s">
        <v>129</v>
      </c>
      <c r="C145" s="1"/>
      <c r="D145" s="1"/>
      <c r="E145" s="1">
        <f>600+200</f>
        <v>800</v>
      </c>
      <c r="F145" s="1"/>
      <c r="G145" s="1"/>
      <c r="H145" s="9">
        <f t="shared" si="16"/>
        <v>800</v>
      </c>
    </row>
    <row r="146" spans="2:8" ht="15.75" thickBot="1" x14ac:dyDescent="0.3">
      <c r="B146" s="46" t="s">
        <v>152</v>
      </c>
      <c r="C146" s="113"/>
      <c r="D146" s="44"/>
      <c r="E146" s="85">
        <v>1985</v>
      </c>
      <c r="F146" s="99"/>
      <c r="G146" s="79"/>
      <c r="H146" s="72">
        <f>SUM(C146:G146)</f>
        <v>1985</v>
      </c>
    </row>
    <row r="147" spans="2:8" ht="15.75" thickBot="1" x14ac:dyDescent="0.3">
      <c r="B147" s="52" t="s">
        <v>130</v>
      </c>
      <c r="C147" s="44"/>
      <c r="D147" s="44"/>
      <c r="E147" s="80">
        <f>1500+1500</f>
        <v>3000</v>
      </c>
      <c r="F147" s="100"/>
      <c r="G147" s="81"/>
      <c r="H147" s="72">
        <f t="shared" ref="H147" si="17">SUM(C147:G147)</f>
        <v>3000</v>
      </c>
    </row>
    <row r="148" spans="2:8" ht="15.75" thickBot="1" x14ac:dyDescent="0.3">
      <c r="B148" s="47" t="s">
        <v>151</v>
      </c>
      <c r="C148" s="65">
        <f>SUM(C149:C152)</f>
        <v>2000</v>
      </c>
      <c r="D148" s="65"/>
      <c r="E148" s="83">
        <f t="shared" ref="E148" si="18">SUM(E149:E152)</f>
        <v>600</v>
      </c>
      <c r="F148" s="49"/>
      <c r="G148" s="84"/>
      <c r="H148" s="72">
        <f>SUM(H149:H152)</f>
        <v>2600</v>
      </c>
    </row>
    <row r="149" spans="2:8" x14ac:dyDescent="0.25">
      <c r="B149" s="6" t="s">
        <v>131</v>
      </c>
      <c r="C149" s="7">
        <v>1800</v>
      </c>
      <c r="D149" s="7"/>
      <c r="E149" s="7"/>
      <c r="F149" s="7"/>
      <c r="G149" s="7"/>
      <c r="H149" s="9">
        <f>SUM(C149:E149)</f>
        <v>1800</v>
      </c>
    </row>
    <row r="150" spans="2:8" x14ac:dyDescent="0.25">
      <c r="B150" s="8" t="s">
        <v>132</v>
      </c>
      <c r="C150" s="9"/>
      <c r="D150" s="9"/>
      <c r="E150" s="9">
        <v>100</v>
      </c>
      <c r="F150" s="9"/>
      <c r="G150" s="9"/>
      <c r="H150" s="9">
        <f>SUM(C150:E150)</f>
        <v>100</v>
      </c>
    </row>
    <row r="151" spans="2:8" x14ac:dyDescent="0.25">
      <c r="B151" s="12" t="s">
        <v>133</v>
      </c>
      <c r="C151" s="9">
        <v>200</v>
      </c>
      <c r="D151" s="9"/>
      <c r="E151" s="9">
        <f>300+100</f>
        <v>400</v>
      </c>
      <c r="F151" s="9"/>
      <c r="G151" s="9"/>
      <c r="H151" s="9">
        <f t="shared" ref="H151:H152" si="19">SUM(C151:E151)</f>
        <v>600</v>
      </c>
    </row>
    <row r="152" spans="2:8" ht="15.75" thickBot="1" x14ac:dyDescent="0.3">
      <c r="B152" s="18" t="s">
        <v>134</v>
      </c>
      <c r="C152" s="1"/>
      <c r="D152" s="1"/>
      <c r="E152" s="1">
        <v>100</v>
      </c>
      <c r="F152" s="1"/>
      <c r="G152" s="1"/>
      <c r="H152" s="9">
        <f t="shared" si="19"/>
        <v>100</v>
      </c>
    </row>
    <row r="153" spans="2:8" ht="15.75" thickBot="1" x14ac:dyDescent="0.3">
      <c r="B153" s="50" t="s">
        <v>150</v>
      </c>
      <c r="C153" s="42"/>
      <c r="D153" s="43"/>
      <c r="E153" s="43">
        <f>1000-100</f>
        <v>900</v>
      </c>
      <c r="F153" s="43"/>
      <c r="G153" s="82"/>
      <c r="H153" s="44">
        <f>SUM(C153:E153)</f>
        <v>900</v>
      </c>
    </row>
    <row r="154" spans="2:8" ht="15.75" thickBot="1" x14ac:dyDescent="0.3">
      <c r="B154" s="41" t="s">
        <v>135</v>
      </c>
      <c r="C154" s="42"/>
      <c r="D154" s="43"/>
      <c r="E154" s="43">
        <f>200+400+100</f>
        <v>700</v>
      </c>
      <c r="F154" s="43"/>
      <c r="G154" s="82"/>
      <c r="H154" s="44">
        <f>SUM(C154:E154)</f>
        <v>700</v>
      </c>
    </row>
    <row r="155" spans="2:8" ht="16.5" thickBot="1" x14ac:dyDescent="0.3">
      <c r="B155" s="29" t="s">
        <v>136</v>
      </c>
      <c r="C155" s="30">
        <f>SUM(C19,C20,C21,C29,C32,C57,C67,C92,C99,C124,C146,C147,C148,C153,C154,C22)</f>
        <v>2717103</v>
      </c>
      <c r="D155" s="30">
        <f>SUM(D19,D20,D21,D29,D32,D57,D67,D92,D99,D124,D146,D147,D148,D153,D154,D22)</f>
        <v>200</v>
      </c>
      <c r="E155" s="30">
        <f>SUM(E19,E20,E21,E29,E32,E57,E67,E92,E99,E124,E146,E147,E148,E153,E154,E22)</f>
        <v>71940</v>
      </c>
      <c r="F155" s="30">
        <f>SUM(F19,F20,F21,F29,F32,F57,F67,F92,F99,F124,F146,F147,F148,F153,F154,F22)</f>
        <v>500</v>
      </c>
      <c r="G155" s="30">
        <f>SUM(G19,G20,G21,G29,G32,G57,G67,G92,G99,G124,G146,G147,G148,G153,G154,G22)</f>
        <v>288</v>
      </c>
      <c r="H155" s="30">
        <f>SUM(H19,H20,H21,H22,H29,H32,H57,H67,H92,H99,H124,H146,H147,H148,H153,H154)</f>
        <v>2790031</v>
      </c>
    </row>
    <row r="156" spans="2:8" x14ac:dyDescent="0.25">
      <c r="B156" s="19" t="s">
        <v>166</v>
      </c>
      <c r="C156" s="20"/>
      <c r="D156" s="20"/>
      <c r="E156" s="9"/>
      <c r="F156" s="64"/>
      <c r="G156" s="77"/>
      <c r="H156" s="2">
        <f>SUM(C156:G156)</f>
        <v>0</v>
      </c>
    </row>
    <row r="157" spans="2:8" x14ac:dyDescent="0.25">
      <c r="B157" s="19" t="s">
        <v>137</v>
      </c>
      <c r="C157" s="20"/>
      <c r="D157" s="20"/>
      <c r="E157" s="9"/>
      <c r="F157" s="64"/>
      <c r="G157" s="77">
        <v>2797</v>
      </c>
      <c r="H157" s="2">
        <f t="shared" ref="H157:H170" si="20">SUM(C157:G157)</f>
        <v>2797</v>
      </c>
    </row>
    <row r="158" spans="2:8" x14ac:dyDescent="0.25">
      <c r="B158" s="19" t="s">
        <v>156</v>
      </c>
      <c r="C158" s="20"/>
      <c r="D158" s="20"/>
      <c r="E158" s="9"/>
      <c r="F158" s="64"/>
      <c r="G158" s="77"/>
      <c r="H158" s="2">
        <f t="shared" si="20"/>
        <v>0</v>
      </c>
    </row>
    <row r="159" spans="2:8" x14ac:dyDescent="0.25">
      <c r="B159" s="21" t="s">
        <v>138</v>
      </c>
      <c r="C159" s="20"/>
      <c r="D159" s="20"/>
      <c r="E159" s="9"/>
      <c r="F159" s="64"/>
      <c r="G159" s="77"/>
      <c r="H159" s="2">
        <f t="shared" si="20"/>
        <v>0</v>
      </c>
    </row>
    <row r="160" spans="2:8" x14ac:dyDescent="0.25">
      <c r="B160" s="21" t="s">
        <v>175</v>
      </c>
      <c r="C160" s="20"/>
      <c r="D160" s="20"/>
      <c r="E160" s="9"/>
      <c r="F160" s="64"/>
      <c r="G160" s="77"/>
      <c r="H160" s="2">
        <f t="shared" si="20"/>
        <v>0</v>
      </c>
    </row>
    <row r="161" spans="1:12" x14ac:dyDescent="0.25">
      <c r="B161" s="21" t="s">
        <v>200</v>
      </c>
      <c r="C161" s="20"/>
      <c r="D161" s="20"/>
      <c r="E161" s="9"/>
      <c r="F161" s="64">
        <v>4000</v>
      </c>
      <c r="G161" s="77"/>
      <c r="H161" s="2">
        <f t="shared" si="20"/>
        <v>4000</v>
      </c>
    </row>
    <row r="162" spans="1:12" x14ac:dyDescent="0.25">
      <c r="B162" s="21" t="s">
        <v>140</v>
      </c>
      <c r="C162" s="20"/>
      <c r="D162" s="20">
        <v>23084</v>
      </c>
      <c r="E162" s="9">
        <f>200-100-50</f>
        <v>50</v>
      </c>
      <c r="F162" s="64"/>
      <c r="G162" s="77"/>
      <c r="H162" s="2">
        <f t="shared" si="20"/>
        <v>23134</v>
      </c>
    </row>
    <row r="163" spans="1:12" x14ac:dyDescent="0.25">
      <c r="B163" s="19" t="s">
        <v>141</v>
      </c>
      <c r="C163" s="20"/>
      <c r="D163" s="20">
        <v>34727</v>
      </c>
      <c r="E163" s="9">
        <f>600-200</f>
        <v>400</v>
      </c>
      <c r="F163" s="64"/>
      <c r="G163" s="77"/>
      <c r="H163" s="2">
        <f t="shared" si="20"/>
        <v>35127</v>
      </c>
    </row>
    <row r="164" spans="1:12" x14ac:dyDescent="0.25">
      <c r="B164" s="21" t="s">
        <v>142</v>
      </c>
      <c r="C164" s="20"/>
      <c r="D164" s="20">
        <v>500</v>
      </c>
      <c r="E164" s="9">
        <f>400+200+150+100+200+20+100+50</f>
        <v>1220</v>
      </c>
      <c r="F164" s="64">
        <v>729</v>
      </c>
      <c r="G164" s="77"/>
      <c r="H164" s="2">
        <f t="shared" si="20"/>
        <v>2449</v>
      </c>
      <c r="K164" s="56"/>
    </row>
    <row r="165" spans="1:12" x14ac:dyDescent="0.25">
      <c r="B165" s="21" t="s">
        <v>176</v>
      </c>
      <c r="C165" s="20"/>
      <c r="D165" s="20"/>
      <c r="E165" s="9">
        <v>15</v>
      </c>
      <c r="F165" s="64"/>
      <c r="G165" s="77"/>
      <c r="H165" s="2">
        <f t="shared" si="20"/>
        <v>15</v>
      </c>
    </row>
    <row r="166" spans="1:12" x14ac:dyDescent="0.25">
      <c r="B166" s="19" t="s">
        <v>143</v>
      </c>
      <c r="C166" s="20"/>
      <c r="D166" s="20"/>
      <c r="E166" s="102">
        <f>300-150+100+300</f>
        <v>550</v>
      </c>
      <c r="F166" s="64"/>
      <c r="G166" s="77"/>
      <c r="H166" s="2">
        <f t="shared" si="20"/>
        <v>550</v>
      </c>
    </row>
    <row r="167" spans="1:12" x14ac:dyDescent="0.25">
      <c r="B167" s="22" t="s">
        <v>144</v>
      </c>
      <c r="C167" s="20"/>
      <c r="D167" s="20">
        <v>22200</v>
      </c>
      <c r="E167" s="9">
        <v>500</v>
      </c>
      <c r="F167" s="64"/>
      <c r="G167" s="77"/>
      <c r="H167" s="2">
        <f t="shared" si="20"/>
        <v>22700</v>
      </c>
    </row>
    <row r="168" spans="1:12" x14ac:dyDescent="0.25">
      <c r="B168" s="19" t="s">
        <v>145</v>
      </c>
      <c r="C168" s="20"/>
      <c r="D168" s="112"/>
      <c r="E168" s="9">
        <v>0</v>
      </c>
      <c r="F168" s="64"/>
      <c r="G168" s="77"/>
      <c r="H168" s="2">
        <f t="shared" si="20"/>
        <v>0</v>
      </c>
    </row>
    <row r="169" spans="1:12" x14ac:dyDescent="0.25">
      <c r="B169" s="19" t="s">
        <v>168</v>
      </c>
      <c r="C169" s="20"/>
      <c r="D169" s="20"/>
      <c r="E169" s="9">
        <f>200-100</f>
        <v>100</v>
      </c>
      <c r="F169" s="64"/>
      <c r="G169" s="77"/>
      <c r="H169" s="2">
        <f t="shared" si="20"/>
        <v>100</v>
      </c>
    </row>
    <row r="170" spans="1:12" ht="15.75" thickBot="1" x14ac:dyDescent="0.3">
      <c r="B170" s="19" t="s">
        <v>146</v>
      </c>
      <c r="C170" s="20"/>
      <c r="D170" s="20"/>
      <c r="E170" s="9">
        <v>50</v>
      </c>
      <c r="F170" s="64"/>
      <c r="G170" s="77"/>
      <c r="H170" s="2">
        <f t="shared" si="20"/>
        <v>50</v>
      </c>
    </row>
    <row r="171" spans="1:12" ht="13.5" customHeight="1" thickBot="1" x14ac:dyDescent="0.3">
      <c r="B171" s="29" t="s">
        <v>147</v>
      </c>
      <c r="C171" s="30">
        <f t="shared" ref="C171:H171" si="21">SUM(C156:C170)</f>
        <v>0</v>
      </c>
      <c r="D171" s="30">
        <f t="shared" si="21"/>
        <v>80511</v>
      </c>
      <c r="E171" s="30">
        <f>SUM(E156:E170)</f>
        <v>2885</v>
      </c>
      <c r="F171" s="30">
        <f t="shared" si="21"/>
        <v>4729</v>
      </c>
      <c r="G171" s="30">
        <f t="shared" si="21"/>
        <v>2797</v>
      </c>
      <c r="H171" s="30">
        <f t="shared" si="21"/>
        <v>90922</v>
      </c>
    </row>
    <row r="172" spans="1:12" ht="16.5" customHeight="1" thickBot="1" x14ac:dyDescent="0.3">
      <c r="B172" s="34" t="s">
        <v>148</v>
      </c>
      <c r="C172" s="35">
        <f t="shared" ref="C172:G172" si="22">C155+C171</f>
        <v>2717103</v>
      </c>
      <c r="D172" s="35">
        <f t="shared" si="22"/>
        <v>80711</v>
      </c>
      <c r="E172" s="35">
        <f t="shared" si="22"/>
        <v>74825</v>
      </c>
      <c r="F172" s="35">
        <f>F155+F171</f>
        <v>5229</v>
      </c>
      <c r="G172" s="35">
        <f t="shared" si="22"/>
        <v>3085</v>
      </c>
      <c r="H172" s="35">
        <f>H155+H171</f>
        <v>2880953</v>
      </c>
      <c r="L172" s="56"/>
    </row>
    <row r="173" spans="1:12" ht="50.25" customHeight="1" x14ac:dyDescent="0.25">
      <c r="A173" s="89"/>
      <c r="B173" s="146" t="s">
        <v>206</v>
      </c>
      <c r="C173" s="146"/>
      <c r="D173" s="146"/>
      <c r="E173" s="146"/>
      <c r="F173" s="146"/>
      <c r="G173" s="146"/>
      <c r="H173" s="146"/>
    </row>
    <row r="174" spans="1:12" ht="15" customHeight="1" x14ac:dyDescent="0.25">
      <c r="E174" s="147" t="s">
        <v>179</v>
      </c>
      <c r="F174" s="147"/>
      <c r="G174" s="147"/>
      <c r="H174" s="147"/>
    </row>
    <row r="175" spans="1:12" ht="1.5" hidden="1" customHeight="1" x14ac:dyDescent="0.25">
      <c r="E175" s="147" t="s">
        <v>180</v>
      </c>
      <c r="F175" s="147"/>
      <c r="G175" s="147"/>
      <c r="H175" s="147"/>
    </row>
    <row r="176" spans="1:12" hidden="1" x14ac:dyDescent="0.25">
      <c r="C176" s="56"/>
      <c r="D176" s="56"/>
      <c r="E176" s="147"/>
      <c r="F176" s="147"/>
      <c r="G176" s="147"/>
      <c r="H176" s="147"/>
    </row>
  </sheetData>
  <mergeCells count="5">
    <mergeCell ref="B2:H2"/>
    <mergeCell ref="B3:H3"/>
    <mergeCell ref="B173:H173"/>
    <mergeCell ref="E174:H174"/>
    <mergeCell ref="E175:H176"/>
  </mergeCells>
  <pageMargins left="0.70866141732283472" right="0.70866141732283472" top="0.74803149606299213" bottom="0.74803149606299213" header="0.31496062992125984" footer="0.31496062992125984"/>
  <pageSetup paperSize="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Predlog FP 2022. A</vt:lpstr>
      <vt:lpstr>Predlog FP 2022. S</vt:lpstr>
      <vt:lpstr>Prva izmena FP 2022. A</vt:lpstr>
      <vt:lpstr>Prva izmena FP 2022. S</vt:lpstr>
      <vt:lpstr>Druga izmena FP 2022. A</vt:lpstr>
      <vt:lpstr>Druga izmena FP 2022. S</vt:lpstr>
      <vt:lpstr>Treća izmena FP 2022. A</vt:lpstr>
      <vt:lpstr>Treća izmena FP 2022. S</vt:lpstr>
      <vt:lpstr>Četvrta izmena FP 2022. A</vt:lpstr>
      <vt:lpstr>Četvrta izmena FP 2022. S</vt:lpstr>
      <vt:lpstr>Peta izmena FP 2022. A </vt:lpstr>
      <vt:lpstr>Peta izmena FP 2022. S</vt:lpstr>
      <vt:lpstr>Šesta izmena FP 2022. A</vt:lpstr>
      <vt:lpstr>Šesta izmena FP 2022. S</vt:lpstr>
      <vt:lpstr>Sedma izmena FP 2022. A</vt:lpstr>
      <vt:lpstr>Sedma izmena FP 2022. S</vt:lpstr>
      <vt:lpstr>Osma izmena FP 2022. A</vt:lpstr>
      <vt:lpstr>Osma izmena FP 2022. S</vt:lpstr>
      <vt:lpstr>Deveta izmena FP 2022. A</vt:lpstr>
      <vt:lpstr>Deveta izmena FP 2022. S</vt:lpstr>
      <vt:lpstr>Deseta izmena FP 2022. A</vt:lpstr>
      <vt:lpstr>Deseta izmena FP 2022. S</vt:lpstr>
      <vt:lpstr>Jedanaesta izmena FP 2022. A</vt:lpstr>
      <vt:lpstr>Jedanaesta izmena FP 2022. 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vukalovic.svetlana</dc:creator>
  <cp:lastModifiedBy>Aleksandra Pavlov</cp:lastModifiedBy>
  <cp:lastPrinted>2022-12-28T09:30:55Z</cp:lastPrinted>
  <dcterms:created xsi:type="dcterms:W3CDTF">2018-12-31T10:52:34Z</dcterms:created>
  <dcterms:modified xsi:type="dcterms:W3CDTF">2022-12-30T08:52:25Z</dcterms:modified>
</cp:coreProperties>
</file>