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850" windowHeight="12540" tabRatio="261" firstSheet="22" activeTab="22"/>
  </bookViews>
  <sheets>
    <sheet name="Predlog FP 2023. A" sheetId="69" r:id="rId1"/>
    <sheet name="Predlog FP 2023. S" sheetId="70" r:id="rId2"/>
    <sheet name="Prva izmena FP 2023. A" sheetId="71" r:id="rId3"/>
    <sheet name="Prva izmena FP 2023. S" sheetId="72" r:id="rId4"/>
    <sheet name="Druga izmena FP 2023. A" sheetId="73" r:id="rId5"/>
    <sheet name="Druga izmena FP 2023. S" sheetId="74" r:id="rId6"/>
    <sheet name="Treća izmena FP 2023. A" sheetId="75" r:id="rId7"/>
    <sheet name="Treća izmena FP 2023. S" sheetId="77" r:id="rId8"/>
    <sheet name="Četvrta izmena FP 2023. A" sheetId="78" r:id="rId9"/>
    <sheet name="Četvrta izmena FP 2023. S" sheetId="80" r:id="rId10"/>
    <sheet name="Peta izmena FP 2023. A" sheetId="81" r:id="rId11"/>
    <sheet name="Peta izmena FP 2023. S" sheetId="82" r:id="rId12"/>
    <sheet name="Šesta izmena FP 2023. A" sheetId="83" r:id="rId13"/>
    <sheet name="Šesta izmena FP 2023. S" sheetId="84" r:id="rId14"/>
    <sheet name="Sedma izmena FP 2023. A" sheetId="85" r:id="rId15"/>
    <sheet name="Sedma izmena FP 2023. S" sheetId="86" r:id="rId16"/>
    <sheet name="Osma izmena FP 2023. A" sheetId="87" r:id="rId17"/>
    <sheet name="Osma izmena FP 2023. S" sheetId="88" r:id="rId18"/>
    <sheet name="Deveta izmena FP 2023. A" sheetId="89" r:id="rId19"/>
    <sheet name="Deveta izmena FP 2023. S" sheetId="90" r:id="rId20"/>
    <sheet name="Deseta izmena FP 2023. A" sheetId="91" r:id="rId21"/>
    <sheet name="Deseta izmena FP 2023. S" sheetId="92" r:id="rId22"/>
    <sheet name="Jedanseta izmena FP 2023. A" sheetId="93" r:id="rId23"/>
    <sheet name="Jedanaesta izmena FP 2023. S" sheetId="94" r:id="rId24"/>
    <sheet name="Sheet3" sheetId="37" r:id="rId25"/>
  </sheets>
  <calcPr calcId="145621"/>
</workbook>
</file>

<file path=xl/calcChain.xml><?xml version="1.0" encoding="utf-8"?>
<calcChain xmlns="http://schemas.openxmlformats.org/spreadsheetml/2006/main">
  <c r="D152" i="93" l="1"/>
  <c r="J152" i="93" s="1"/>
  <c r="D154" i="93"/>
  <c r="J154" i="93" s="1"/>
  <c r="D146" i="93"/>
  <c r="J146" i="93" s="1"/>
  <c r="I173" i="93"/>
  <c r="F173" i="93"/>
  <c r="E173" i="93"/>
  <c r="C173" i="93"/>
  <c r="J172" i="93"/>
  <c r="J171" i="93"/>
  <c r="D170" i="93"/>
  <c r="J170" i="93" s="1"/>
  <c r="J169" i="93"/>
  <c r="H168" i="93"/>
  <c r="H173" i="93" s="1"/>
  <c r="D168" i="93"/>
  <c r="D173" i="93" s="1"/>
  <c r="G167" i="93"/>
  <c r="J167" i="93" s="1"/>
  <c r="J166" i="93"/>
  <c r="G165" i="93"/>
  <c r="J165" i="93" s="1"/>
  <c r="J164" i="93"/>
  <c r="G163" i="93"/>
  <c r="G173" i="93" s="1"/>
  <c r="J162" i="93"/>
  <c r="J161" i="93"/>
  <c r="J160" i="93"/>
  <c r="J159" i="93"/>
  <c r="J158" i="93"/>
  <c r="J157" i="93"/>
  <c r="J156" i="93"/>
  <c r="D153" i="93"/>
  <c r="J153" i="93" s="1"/>
  <c r="D151" i="93"/>
  <c r="C151" i="93"/>
  <c r="J151" i="93" s="1"/>
  <c r="D150" i="93"/>
  <c r="C149" i="93"/>
  <c r="J149" i="93" s="1"/>
  <c r="G148" i="93"/>
  <c r="D147" i="93"/>
  <c r="J147" i="93" s="1"/>
  <c r="J145" i="93"/>
  <c r="D144" i="93"/>
  <c r="C144" i="93"/>
  <c r="J144" i="93" s="1"/>
  <c r="C143" i="93"/>
  <c r="J143" i="93" s="1"/>
  <c r="D142" i="93"/>
  <c r="C142" i="93"/>
  <c r="J142" i="93" s="1"/>
  <c r="J141" i="93"/>
  <c r="J140" i="93"/>
  <c r="C140" i="93"/>
  <c r="J139" i="93"/>
  <c r="D138" i="93"/>
  <c r="C138" i="93"/>
  <c r="J138" i="93" s="1"/>
  <c r="D137" i="93"/>
  <c r="C137" i="93"/>
  <c r="J137" i="93" s="1"/>
  <c r="D136" i="93"/>
  <c r="J136" i="93" s="1"/>
  <c r="C136" i="93"/>
  <c r="D135" i="93"/>
  <c r="C135" i="93"/>
  <c r="J135" i="93" s="1"/>
  <c r="C134" i="93"/>
  <c r="J134" i="93" s="1"/>
  <c r="C133" i="93"/>
  <c r="J133" i="93" s="1"/>
  <c r="J132" i="93"/>
  <c r="D131" i="93"/>
  <c r="J131" i="93" s="1"/>
  <c r="D130" i="93"/>
  <c r="J130" i="93" s="1"/>
  <c r="D129" i="93"/>
  <c r="D124" i="93" s="1"/>
  <c r="C128" i="93"/>
  <c r="J128" i="93" s="1"/>
  <c r="J127" i="93"/>
  <c r="C126" i="93"/>
  <c r="J126" i="93" s="1"/>
  <c r="D125" i="93"/>
  <c r="C125" i="93"/>
  <c r="J125" i="93" s="1"/>
  <c r="G124" i="93"/>
  <c r="F124" i="93"/>
  <c r="E124" i="93"/>
  <c r="C123" i="93"/>
  <c r="J123" i="93" s="1"/>
  <c r="J122" i="93"/>
  <c r="C121" i="93"/>
  <c r="J121" i="93" s="1"/>
  <c r="C120" i="93"/>
  <c r="J120" i="93" s="1"/>
  <c r="C119" i="93"/>
  <c r="J119" i="93" s="1"/>
  <c r="J118" i="93"/>
  <c r="C117" i="93"/>
  <c r="J117" i="93" s="1"/>
  <c r="D116" i="93"/>
  <c r="C116" i="93"/>
  <c r="C115" i="93"/>
  <c r="J115" i="93" s="1"/>
  <c r="J114" i="93"/>
  <c r="J113" i="93"/>
  <c r="C113" i="93"/>
  <c r="J112" i="93"/>
  <c r="J111" i="93"/>
  <c r="J110" i="93"/>
  <c r="C110" i="93"/>
  <c r="C109" i="93"/>
  <c r="J109" i="93" s="1"/>
  <c r="J108" i="93"/>
  <c r="C108" i="93"/>
  <c r="J107" i="93"/>
  <c r="C106" i="93"/>
  <c r="J106" i="93" s="1"/>
  <c r="C105" i="93"/>
  <c r="J105" i="93" s="1"/>
  <c r="C104" i="93"/>
  <c r="J104" i="93" s="1"/>
  <c r="C103" i="93"/>
  <c r="J103" i="93" s="1"/>
  <c r="C102" i="93"/>
  <c r="J102" i="93" s="1"/>
  <c r="J101" i="93"/>
  <c r="C100" i="93"/>
  <c r="J100" i="93" s="1"/>
  <c r="I99" i="93"/>
  <c r="I155" i="93" s="1"/>
  <c r="I174" i="93" s="1"/>
  <c r="H99" i="93"/>
  <c r="G99" i="93"/>
  <c r="F99" i="93"/>
  <c r="E99" i="93"/>
  <c r="D99" i="93"/>
  <c r="D98" i="93"/>
  <c r="J98" i="93" s="1"/>
  <c r="J97" i="93"/>
  <c r="G96" i="93"/>
  <c r="D96" i="93"/>
  <c r="C96" i="93"/>
  <c r="D95" i="93"/>
  <c r="J95" i="93" s="1"/>
  <c r="C94" i="93"/>
  <c r="C92" i="93" s="1"/>
  <c r="D93" i="93"/>
  <c r="C93" i="93"/>
  <c r="J93" i="93" s="1"/>
  <c r="H92" i="93"/>
  <c r="G92" i="93"/>
  <c r="E92" i="93"/>
  <c r="F91" i="93"/>
  <c r="D91" i="93"/>
  <c r="J91" i="93" s="1"/>
  <c r="J90" i="93"/>
  <c r="D89" i="93"/>
  <c r="J89" i="93" s="1"/>
  <c r="J88" i="93"/>
  <c r="C88" i="93"/>
  <c r="D87" i="93"/>
  <c r="J87" i="93" s="1"/>
  <c r="J86" i="93"/>
  <c r="D86" i="93"/>
  <c r="J85" i="93"/>
  <c r="J84" i="93"/>
  <c r="J83" i="93"/>
  <c r="J82" i="93"/>
  <c r="H81" i="93"/>
  <c r="H67" i="93" s="1"/>
  <c r="H155" i="93" s="1"/>
  <c r="H174" i="93" s="1"/>
  <c r="F81" i="93"/>
  <c r="J81" i="93" s="1"/>
  <c r="C80" i="93"/>
  <c r="J80" i="93" s="1"/>
  <c r="D79" i="93"/>
  <c r="J79" i="93" s="1"/>
  <c r="F78" i="93"/>
  <c r="J78" i="93" s="1"/>
  <c r="J77" i="93"/>
  <c r="D76" i="93"/>
  <c r="J76" i="93" s="1"/>
  <c r="J75" i="93"/>
  <c r="D75" i="93"/>
  <c r="D74" i="93"/>
  <c r="C74" i="93"/>
  <c r="J74" i="93" s="1"/>
  <c r="D73" i="93"/>
  <c r="J73" i="93" s="1"/>
  <c r="C72" i="93"/>
  <c r="J72" i="93" s="1"/>
  <c r="C71" i="93"/>
  <c r="J71" i="93" s="1"/>
  <c r="D70" i="93"/>
  <c r="J70" i="93" s="1"/>
  <c r="J69" i="93"/>
  <c r="J68" i="93"/>
  <c r="E67" i="93"/>
  <c r="E155" i="93" s="1"/>
  <c r="E174" i="93" s="1"/>
  <c r="C67" i="93"/>
  <c r="J66" i="93"/>
  <c r="D65" i="93"/>
  <c r="J65" i="93" s="1"/>
  <c r="J64" i="93"/>
  <c r="J63" i="93"/>
  <c r="J62" i="93"/>
  <c r="J61" i="93"/>
  <c r="J60" i="93"/>
  <c r="D60" i="93"/>
  <c r="D59" i="93"/>
  <c r="J59" i="93" s="1"/>
  <c r="J58" i="93"/>
  <c r="D58" i="93"/>
  <c r="C57" i="93"/>
  <c r="J56" i="93"/>
  <c r="J55" i="93"/>
  <c r="D55" i="93"/>
  <c r="J54" i="93"/>
  <c r="D53" i="93"/>
  <c r="J53" i="93" s="1"/>
  <c r="D52" i="93"/>
  <c r="J52" i="93" s="1"/>
  <c r="C51" i="93"/>
  <c r="J51" i="93" s="1"/>
  <c r="C50" i="93"/>
  <c r="J50" i="93" s="1"/>
  <c r="C49" i="93"/>
  <c r="J49" i="93" s="1"/>
  <c r="C48" i="93"/>
  <c r="J48" i="93" s="1"/>
  <c r="C47" i="93"/>
  <c r="J47" i="93" s="1"/>
  <c r="J46" i="93"/>
  <c r="C45" i="93"/>
  <c r="J45" i="93" s="1"/>
  <c r="J44" i="93"/>
  <c r="C44" i="93"/>
  <c r="C43" i="93"/>
  <c r="J43" i="93" s="1"/>
  <c r="D42" i="93"/>
  <c r="C42" i="93"/>
  <c r="C41" i="93"/>
  <c r="J41" i="93" s="1"/>
  <c r="D40" i="93"/>
  <c r="J40" i="93" s="1"/>
  <c r="C39" i="93"/>
  <c r="J39" i="93" s="1"/>
  <c r="D38" i="93"/>
  <c r="C38" i="93"/>
  <c r="J38" i="93" s="1"/>
  <c r="D37" i="93"/>
  <c r="C37" i="93"/>
  <c r="J36" i="93"/>
  <c r="D35" i="93"/>
  <c r="D32" i="93" s="1"/>
  <c r="C35" i="93"/>
  <c r="J35" i="93" s="1"/>
  <c r="C34" i="93"/>
  <c r="J34" i="93" s="1"/>
  <c r="D33" i="93"/>
  <c r="C33" i="93"/>
  <c r="J33" i="93" s="1"/>
  <c r="G32" i="93"/>
  <c r="D31" i="93"/>
  <c r="J31" i="93" s="1"/>
  <c r="J30" i="93"/>
  <c r="C30" i="93"/>
  <c r="C29" i="93"/>
  <c r="D28" i="93"/>
  <c r="C28" i="93"/>
  <c r="C27" i="93"/>
  <c r="J27" i="93" s="1"/>
  <c r="J26" i="93"/>
  <c r="C26" i="93"/>
  <c r="D25" i="93"/>
  <c r="C25" i="93"/>
  <c r="C22" i="93" s="1"/>
  <c r="C7" i="93" s="1"/>
  <c r="D24" i="93"/>
  <c r="J24" i="93" s="1"/>
  <c r="J23" i="93"/>
  <c r="H22" i="93"/>
  <c r="D22" i="93"/>
  <c r="J21" i="93"/>
  <c r="G20" i="93"/>
  <c r="D20" i="93"/>
  <c r="C20" i="93"/>
  <c r="J20" i="93" s="1"/>
  <c r="F19" i="93"/>
  <c r="D19" i="93"/>
  <c r="C19" i="93"/>
  <c r="I15" i="93"/>
  <c r="H15" i="93"/>
  <c r="G15" i="93"/>
  <c r="E15" i="93"/>
  <c r="J14" i="93"/>
  <c r="J13" i="93"/>
  <c r="F12" i="93"/>
  <c r="F15" i="93" s="1"/>
  <c r="J11" i="93"/>
  <c r="J10" i="93"/>
  <c r="D10" i="93"/>
  <c r="C10" i="93"/>
  <c r="D9" i="93"/>
  <c r="J9" i="93" s="1"/>
  <c r="C8" i="93"/>
  <c r="J8" i="93" s="1"/>
  <c r="C25" i="91"/>
  <c r="C27" i="91"/>
  <c r="J27" i="91" s="1"/>
  <c r="I173" i="91"/>
  <c r="F173" i="91"/>
  <c r="E173" i="91"/>
  <c r="C173" i="91"/>
  <c r="J172" i="91"/>
  <c r="J171" i="91"/>
  <c r="D170" i="91"/>
  <c r="J170" i="91" s="1"/>
  <c r="J169" i="91"/>
  <c r="H168" i="91"/>
  <c r="H173" i="91" s="1"/>
  <c r="D168" i="91"/>
  <c r="D173" i="91" s="1"/>
  <c r="G167" i="91"/>
  <c r="J167" i="91" s="1"/>
  <c r="J166" i="91"/>
  <c r="J165" i="91"/>
  <c r="G165" i="91"/>
  <c r="J164" i="91"/>
  <c r="G163" i="91"/>
  <c r="G173" i="91" s="1"/>
  <c r="J162" i="91"/>
  <c r="J161" i="91"/>
  <c r="J160" i="91"/>
  <c r="J159" i="91"/>
  <c r="J158" i="91"/>
  <c r="J157" i="91"/>
  <c r="J156" i="91"/>
  <c r="D154" i="91"/>
  <c r="J154" i="91" s="1"/>
  <c r="J153" i="91"/>
  <c r="D153" i="91"/>
  <c r="D152" i="91"/>
  <c r="J152" i="91" s="1"/>
  <c r="D151" i="91"/>
  <c r="C151" i="91"/>
  <c r="J151" i="91" s="1"/>
  <c r="D150" i="91"/>
  <c r="D148" i="91" s="1"/>
  <c r="C149" i="91"/>
  <c r="J149" i="91" s="1"/>
  <c r="G148" i="91"/>
  <c r="C148" i="91"/>
  <c r="D147" i="91"/>
  <c r="J147" i="91" s="1"/>
  <c r="J146" i="91"/>
  <c r="J145" i="91"/>
  <c r="D144" i="91"/>
  <c r="C144" i="91"/>
  <c r="J143" i="91"/>
  <c r="C143" i="91"/>
  <c r="D142" i="91"/>
  <c r="J142" i="91" s="1"/>
  <c r="C142" i="91"/>
  <c r="J141" i="91"/>
  <c r="C140" i="91"/>
  <c r="J140" i="91" s="1"/>
  <c r="J139" i="91"/>
  <c r="D138" i="91"/>
  <c r="C138" i="91"/>
  <c r="D137" i="91"/>
  <c r="C137" i="91"/>
  <c r="D136" i="91"/>
  <c r="C136" i="91"/>
  <c r="J136" i="91" s="1"/>
  <c r="J135" i="91"/>
  <c r="D135" i="91"/>
  <c r="C135" i="91"/>
  <c r="C134" i="91"/>
  <c r="J134" i="91" s="1"/>
  <c r="C133" i="91"/>
  <c r="J133" i="91" s="1"/>
  <c r="J132" i="91"/>
  <c r="D131" i="91"/>
  <c r="J131" i="91" s="1"/>
  <c r="J130" i="91"/>
  <c r="D130" i="91"/>
  <c r="D129" i="91"/>
  <c r="J129" i="91" s="1"/>
  <c r="J128" i="91"/>
  <c r="C128" i="91"/>
  <c r="J127" i="91"/>
  <c r="C126" i="91"/>
  <c r="J126" i="91" s="1"/>
  <c r="D125" i="91"/>
  <c r="D124" i="91" s="1"/>
  <c r="C125" i="91"/>
  <c r="G124" i="91"/>
  <c r="F124" i="91"/>
  <c r="E124" i="91"/>
  <c r="C123" i="91"/>
  <c r="J123" i="91" s="1"/>
  <c r="J122" i="91"/>
  <c r="C121" i="91"/>
  <c r="J121" i="91" s="1"/>
  <c r="C120" i="91"/>
  <c r="J120" i="91" s="1"/>
  <c r="C119" i="91"/>
  <c r="J119" i="91" s="1"/>
  <c r="J118" i="91"/>
  <c r="J117" i="91"/>
  <c r="C117" i="91"/>
  <c r="D116" i="91"/>
  <c r="C116" i="91"/>
  <c r="J116" i="91" s="1"/>
  <c r="C115" i="91"/>
  <c r="J115" i="91" s="1"/>
  <c r="J114" i="91"/>
  <c r="C113" i="91"/>
  <c r="J113" i="91" s="1"/>
  <c r="J112" i="91"/>
  <c r="J111" i="91"/>
  <c r="C110" i="91"/>
  <c r="J110" i="91" s="1"/>
  <c r="C109" i="91"/>
  <c r="J109" i="91" s="1"/>
  <c r="C108" i="91"/>
  <c r="J108" i="91" s="1"/>
  <c r="J107" i="91"/>
  <c r="C106" i="91"/>
  <c r="J106" i="91" s="1"/>
  <c r="C105" i="91"/>
  <c r="J105" i="91" s="1"/>
  <c r="C104" i="91"/>
  <c r="J104" i="91" s="1"/>
  <c r="C103" i="91"/>
  <c r="J103" i="91" s="1"/>
  <c r="C102" i="91"/>
  <c r="J102" i="91" s="1"/>
  <c r="J101" i="91"/>
  <c r="J100" i="91"/>
  <c r="C100" i="91"/>
  <c r="I99" i="91"/>
  <c r="I155" i="91" s="1"/>
  <c r="I174" i="91" s="1"/>
  <c r="H99" i="91"/>
  <c r="G99" i="91"/>
  <c r="F99" i="91"/>
  <c r="E99" i="91"/>
  <c r="D99" i="91"/>
  <c r="J98" i="91"/>
  <c r="D98" i="91"/>
  <c r="J97" i="91"/>
  <c r="G96" i="91"/>
  <c r="D96" i="91"/>
  <c r="C96" i="91"/>
  <c r="D95" i="91"/>
  <c r="J95" i="91" s="1"/>
  <c r="C94" i="91"/>
  <c r="C92" i="91" s="1"/>
  <c r="D93" i="91"/>
  <c r="D92" i="91" s="1"/>
  <c r="C93" i="91"/>
  <c r="H92" i="91"/>
  <c r="G92" i="91"/>
  <c r="E92" i="91"/>
  <c r="F91" i="91"/>
  <c r="D91" i="91"/>
  <c r="J91" i="91" s="1"/>
  <c r="J90" i="91"/>
  <c r="D89" i="91"/>
  <c r="J89" i="91" s="1"/>
  <c r="J88" i="91"/>
  <c r="C88" i="91"/>
  <c r="D87" i="91"/>
  <c r="J87" i="91" s="1"/>
  <c r="J86" i="91"/>
  <c r="D86" i="91"/>
  <c r="J85" i="91"/>
  <c r="J84" i="91"/>
  <c r="J83" i="91"/>
  <c r="J82" i="91"/>
  <c r="H81" i="91"/>
  <c r="F81" i="91"/>
  <c r="J81" i="91" s="1"/>
  <c r="C80" i="91"/>
  <c r="J80" i="91" s="1"/>
  <c r="D79" i="91"/>
  <c r="J79" i="91" s="1"/>
  <c r="F78" i="91"/>
  <c r="J78" i="91" s="1"/>
  <c r="J77" i="91"/>
  <c r="J76" i="91"/>
  <c r="D76" i="91"/>
  <c r="D75" i="91"/>
  <c r="J75" i="91" s="1"/>
  <c r="J74" i="91"/>
  <c r="D74" i="91"/>
  <c r="C74" i="91"/>
  <c r="D73" i="91"/>
  <c r="J73" i="91" s="1"/>
  <c r="C72" i="91"/>
  <c r="J72" i="91" s="1"/>
  <c r="C71" i="91"/>
  <c r="D70" i="91"/>
  <c r="J70" i="91" s="1"/>
  <c r="J69" i="91"/>
  <c r="J68" i="91"/>
  <c r="H67" i="91"/>
  <c r="E67" i="91"/>
  <c r="J66" i="91"/>
  <c r="J65" i="91"/>
  <c r="D65" i="91"/>
  <c r="J64" i="91"/>
  <c r="J63" i="91"/>
  <c r="J62" i="91"/>
  <c r="J61" i="91"/>
  <c r="D60" i="91"/>
  <c r="J60" i="91" s="1"/>
  <c r="J59" i="91"/>
  <c r="D59" i="91"/>
  <c r="D58" i="91"/>
  <c r="J58" i="91" s="1"/>
  <c r="C57" i="91"/>
  <c r="J56" i="91"/>
  <c r="D55" i="91"/>
  <c r="J55" i="91" s="1"/>
  <c r="J54" i="91"/>
  <c r="D53" i="91"/>
  <c r="J53" i="91" s="1"/>
  <c r="D52" i="91"/>
  <c r="J52" i="91" s="1"/>
  <c r="C51" i="91"/>
  <c r="J51" i="91" s="1"/>
  <c r="C50" i="91"/>
  <c r="J50" i="91" s="1"/>
  <c r="C49" i="91"/>
  <c r="J49" i="91" s="1"/>
  <c r="C48" i="91"/>
  <c r="J48" i="91" s="1"/>
  <c r="C47" i="91"/>
  <c r="J47" i="91" s="1"/>
  <c r="J46" i="91"/>
  <c r="C45" i="91"/>
  <c r="J45" i="91" s="1"/>
  <c r="J44" i="91"/>
  <c r="C44" i="91"/>
  <c r="C43" i="91"/>
  <c r="J43" i="91" s="1"/>
  <c r="J42" i="91"/>
  <c r="D42" i="91"/>
  <c r="C42" i="91"/>
  <c r="C41" i="91"/>
  <c r="J41" i="91" s="1"/>
  <c r="D40" i="91"/>
  <c r="J40" i="91" s="1"/>
  <c r="C39" i="91"/>
  <c r="J39" i="91" s="1"/>
  <c r="D38" i="91"/>
  <c r="C38" i="91"/>
  <c r="J38" i="91" s="1"/>
  <c r="J37" i="91"/>
  <c r="D37" i="91"/>
  <c r="C37" i="91"/>
  <c r="J36" i="91"/>
  <c r="J35" i="91"/>
  <c r="D35" i="91"/>
  <c r="C35" i="91"/>
  <c r="C34" i="91"/>
  <c r="J34" i="91" s="1"/>
  <c r="D33" i="91"/>
  <c r="D32" i="91" s="1"/>
  <c r="C33" i="91"/>
  <c r="G32" i="91"/>
  <c r="J31" i="91"/>
  <c r="D31" i="91"/>
  <c r="C30" i="91"/>
  <c r="J30" i="91" s="1"/>
  <c r="J29" i="91" s="1"/>
  <c r="D29" i="91"/>
  <c r="D28" i="91"/>
  <c r="C28" i="91"/>
  <c r="J28" i="91" s="1"/>
  <c r="J26" i="91"/>
  <c r="C26" i="91"/>
  <c r="D25" i="91"/>
  <c r="D24" i="91"/>
  <c r="J24" i="91" s="1"/>
  <c r="J23" i="91"/>
  <c r="H22" i="91"/>
  <c r="J21" i="91"/>
  <c r="G20" i="91"/>
  <c r="G155" i="91" s="1"/>
  <c r="G174" i="91" s="1"/>
  <c r="D20" i="91"/>
  <c r="C20" i="91"/>
  <c r="F19" i="91"/>
  <c r="D19" i="91"/>
  <c r="C19" i="91"/>
  <c r="I15" i="91"/>
  <c r="H15" i="91"/>
  <c r="G15" i="91"/>
  <c r="E15" i="91"/>
  <c r="J14" i="91"/>
  <c r="J13" i="91"/>
  <c r="F12" i="91"/>
  <c r="F15" i="91" s="1"/>
  <c r="J11" i="91"/>
  <c r="D10" i="91"/>
  <c r="C10" i="91"/>
  <c r="J10" i="91" s="1"/>
  <c r="D9" i="91"/>
  <c r="J9" i="91" s="1"/>
  <c r="C8" i="91"/>
  <c r="J8" i="91" s="1"/>
  <c r="C33" i="89"/>
  <c r="C149" i="89"/>
  <c r="C137" i="89"/>
  <c r="J137" i="89" s="1"/>
  <c r="C110" i="89"/>
  <c r="C10" i="89"/>
  <c r="I173" i="89"/>
  <c r="F173" i="89"/>
  <c r="E173" i="89"/>
  <c r="C173" i="89"/>
  <c r="J172" i="89"/>
  <c r="J171" i="89"/>
  <c r="D170" i="89"/>
  <c r="J170" i="89" s="1"/>
  <c r="J169" i="89"/>
  <c r="H168" i="89"/>
  <c r="H173" i="89" s="1"/>
  <c r="D168" i="89"/>
  <c r="G167" i="89"/>
  <c r="J167" i="89" s="1"/>
  <c r="J166" i="89"/>
  <c r="G165" i="89"/>
  <c r="J165" i="89" s="1"/>
  <c r="J164" i="89"/>
  <c r="G163" i="89"/>
  <c r="G173" i="89" s="1"/>
  <c r="J162" i="89"/>
  <c r="J161" i="89"/>
  <c r="J160" i="89"/>
  <c r="J159" i="89"/>
  <c r="J158" i="89"/>
  <c r="J157" i="89"/>
  <c r="J156" i="89"/>
  <c r="D154" i="89"/>
  <c r="J154" i="89" s="1"/>
  <c r="D153" i="89"/>
  <c r="J153" i="89" s="1"/>
  <c r="D152" i="89"/>
  <c r="J152" i="89" s="1"/>
  <c r="D151" i="89"/>
  <c r="C151" i="89"/>
  <c r="D150" i="89"/>
  <c r="J150" i="89" s="1"/>
  <c r="J149" i="89"/>
  <c r="G148" i="89"/>
  <c r="D147" i="89"/>
  <c r="J147" i="89" s="1"/>
  <c r="J146" i="89"/>
  <c r="J145" i="89"/>
  <c r="D144" i="89"/>
  <c r="C144" i="89"/>
  <c r="C143" i="89"/>
  <c r="J143" i="89" s="1"/>
  <c r="D142" i="89"/>
  <c r="C142" i="89"/>
  <c r="J141" i="89"/>
  <c r="C140" i="89"/>
  <c r="J140" i="89" s="1"/>
  <c r="J139" i="89"/>
  <c r="D138" i="89"/>
  <c r="C138" i="89"/>
  <c r="D137" i="89"/>
  <c r="D136" i="89"/>
  <c r="C136" i="89"/>
  <c r="D135" i="89"/>
  <c r="J135" i="89" s="1"/>
  <c r="C135" i="89"/>
  <c r="C134" i="89"/>
  <c r="J134" i="89" s="1"/>
  <c r="C133" i="89"/>
  <c r="J133" i="89" s="1"/>
  <c r="J132" i="89"/>
  <c r="D131" i="89"/>
  <c r="J131" i="89" s="1"/>
  <c r="D130" i="89"/>
  <c r="J130" i="89" s="1"/>
  <c r="D129" i="89"/>
  <c r="J129" i="89" s="1"/>
  <c r="C128" i="89"/>
  <c r="J128" i="89" s="1"/>
  <c r="J127" i="89"/>
  <c r="C126" i="89"/>
  <c r="J126" i="89" s="1"/>
  <c r="D125" i="89"/>
  <c r="C125" i="89"/>
  <c r="G124" i="89"/>
  <c r="F124" i="89"/>
  <c r="E124" i="89"/>
  <c r="C123" i="89"/>
  <c r="J123" i="89" s="1"/>
  <c r="J122" i="89"/>
  <c r="C121" i="89"/>
  <c r="J121" i="89" s="1"/>
  <c r="C120" i="89"/>
  <c r="J120" i="89" s="1"/>
  <c r="C119" i="89"/>
  <c r="J119" i="89" s="1"/>
  <c r="J118" i="89"/>
  <c r="C117" i="89"/>
  <c r="J117" i="89" s="1"/>
  <c r="D116" i="89"/>
  <c r="D99" i="89" s="1"/>
  <c r="C116" i="89"/>
  <c r="C115" i="89"/>
  <c r="J115" i="89" s="1"/>
  <c r="J114" i="89"/>
  <c r="C113" i="89"/>
  <c r="J113" i="89" s="1"/>
  <c r="J112" i="89"/>
  <c r="J111" i="89"/>
  <c r="J110" i="89"/>
  <c r="C109" i="89"/>
  <c r="J109" i="89" s="1"/>
  <c r="C108" i="89"/>
  <c r="J108" i="89" s="1"/>
  <c r="J107" i="89"/>
  <c r="C106" i="89"/>
  <c r="J106" i="89" s="1"/>
  <c r="C105" i="89"/>
  <c r="J105" i="89" s="1"/>
  <c r="C104" i="89"/>
  <c r="J104" i="89" s="1"/>
  <c r="C103" i="89"/>
  <c r="J103" i="89" s="1"/>
  <c r="C102" i="89"/>
  <c r="J102" i="89" s="1"/>
  <c r="J101" i="89"/>
  <c r="C100" i="89"/>
  <c r="J100" i="89" s="1"/>
  <c r="I99" i="89"/>
  <c r="I155" i="89" s="1"/>
  <c r="I174" i="89" s="1"/>
  <c r="H99" i="89"/>
  <c r="G99" i="89"/>
  <c r="F99" i="89"/>
  <c r="E99" i="89"/>
  <c r="D98" i="89"/>
  <c r="J98" i="89" s="1"/>
  <c r="J97" i="89"/>
  <c r="G96" i="89"/>
  <c r="G92" i="89" s="1"/>
  <c r="D96" i="89"/>
  <c r="C96" i="89"/>
  <c r="D95" i="89"/>
  <c r="J95" i="89" s="1"/>
  <c r="C94" i="89"/>
  <c r="J94" i="89" s="1"/>
  <c r="D93" i="89"/>
  <c r="C93" i="89"/>
  <c r="H92" i="89"/>
  <c r="E92" i="89"/>
  <c r="F91" i="89"/>
  <c r="D91" i="89"/>
  <c r="J90" i="89"/>
  <c r="D89" i="89"/>
  <c r="J89" i="89" s="1"/>
  <c r="C88" i="89"/>
  <c r="J88" i="89" s="1"/>
  <c r="D87" i="89"/>
  <c r="J87" i="89" s="1"/>
  <c r="D86" i="89"/>
  <c r="J86" i="89" s="1"/>
  <c r="J85" i="89"/>
  <c r="J84" i="89"/>
  <c r="J83" i="89"/>
  <c r="J82" i="89"/>
  <c r="H81" i="89"/>
  <c r="H67" i="89" s="1"/>
  <c r="F81" i="89"/>
  <c r="C80" i="89"/>
  <c r="J80" i="89" s="1"/>
  <c r="D79" i="89"/>
  <c r="J79" i="89" s="1"/>
  <c r="F78" i="89"/>
  <c r="J78" i="89" s="1"/>
  <c r="J77" i="89"/>
  <c r="D76" i="89"/>
  <c r="J76" i="89" s="1"/>
  <c r="D75" i="89"/>
  <c r="J75" i="89" s="1"/>
  <c r="D74" i="89"/>
  <c r="C74" i="89"/>
  <c r="D73" i="89"/>
  <c r="J73" i="89" s="1"/>
  <c r="C72" i="89"/>
  <c r="J72" i="89" s="1"/>
  <c r="C71" i="89"/>
  <c r="D70" i="89"/>
  <c r="J70" i="89" s="1"/>
  <c r="J69" i="89"/>
  <c r="J68" i="89"/>
  <c r="F67" i="89"/>
  <c r="E67" i="89"/>
  <c r="J66" i="89"/>
  <c r="D65" i="89"/>
  <c r="J65" i="89" s="1"/>
  <c r="J64" i="89"/>
  <c r="J63" i="89"/>
  <c r="J62" i="89"/>
  <c r="J61" i="89"/>
  <c r="D60" i="89"/>
  <c r="J60" i="89" s="1"/>
  <c r="D59" i="89"/>
  <c r="J59" i="89" s="1"/>
  <c r="D58" i="89"/>
  <c r="J58" i="89" s="1"/>
  <c r="C57" i="89"/>
  <c r="J56" i="89"/>
  <c r="D55" i="89"/>
  <c r="J55" i="89" s="1"/>
  <c r="J54" i="89"/>
  <c r="D53" i="89"/>
  <c r="J53" i="89" s="1"/>
  <c r="D52" i="89"/>
  <c r="J52" i="89" s="1"/>
  <c r="C51" i="89"/>
  <c r="J51" i="89" s="1"/>
  <c r="C50" i="89"/>
  <c r="J50" i="89" s="1"/>
  <c r="C49" i="89"/>
  <c r="J49" i="89" s="1"/>
  <c r="C48" i="89"/>
  <c r="J48" i="89" s="1"/>
  <c r="C47" i="89"/>
  <c r="J47" i="89" s="1"/>
  <c r="J46" i="89"/>
  <c r="C45" i="89"/>
  <c r="J45" i="89" s="1"/>
  <c r="C44" i="89"/>
  <c r="J44" i="89" s="1"/>
  <c r="C43" i="89"/>
  <c r="J43" i="89" s="1"/>
  <c r="D42" i="89"/>
  <c r="C42" i="89"/>
  <c r="C41" i="89"/>
  <c r="J41" i="89" s="1"/>
  <c r="D40" i="89"/>
  <c r="J40" i="89" s="1"/>
  <c r="C39" i="89"/>
  <c r="J39" i="89" s="1"/>
  <c r="D38" i="89"/>
  <c r="J38" i="89" s="1"/>
  <c r="C38" i="89"/>
  <c r="D37" i="89"/>
  <c r="J37" i="89" s="1"/>
  <c r="C37" i="89"/>
  <c r="J36" i="89"/>
  <c r="D35" i="89"/>
  <c r="C35" i="89"/>
  <c r="C34" i="89"/>
  <c r="J34" i="89" s="1"/>
  <c r="D33" i="89"/>
  <c r="G32" i="89"/>
  <c r="D31" i="89"/>
  <c r="J31" i="89" s="1"/>
  <c r="C30" i="89"/>
  <c r="J30" i="89" s="1"/>
  <c r="D28" i="89"/>
  <c r="C28" i="89"/>
  <c r="C27" i="89"/>
  <c r="J27" i="89" s="1"/>
  <c r="C26" i="89"/>
  <c r="J26" i="89" s="1"/>
  <c r="D25" i="89"/>
  <c r="J25" i="89" s="1"/>
  <c r="C25" i="89"/>
  <c r="D24" i="89"/>
  <c r="J24" i="89" s="1"/>
  <c r="J23" i="89"/>
  <c r="H22" i="89"/>
  <c r="J21" i="89"/>
  <c r="G20" i="89"/>
  <c r="D20" i="89"/>
  <c r="C20" i="89"/>
  <c r="F19" i="89"/>
  <c r="D19" i="89"/>
  <c r="C19" i="89"/>
  <c r="J19" i="89" s="1"/>
  <c r="I15" i="89"/>
  <c r="H15" i="89"/>
  <c r="G15" i="89"/>
  <c r="E15" i="89"/>
  <c r="J14" i="89"/>
  <c r="J13" i="89"/>
  <c r="F12" i="89"/>
  <c r="F15" i="89" s="1"/>
  <c r="J11" i="89"/>
  <c r="D10" i="89"/>
  <c r="D9" i="89"/>
  <c r="C8" i="89"/>
  <c r="J8" i="89" s="1"/>
  <c r="D19" i="87"/>
  <c r="D138" i="87"/>
  <c r="D137" i="87"/>
  <c r="D136" i="87"/>
  <c r="D129" i="87"/>
  <c r="D130" i="87"/>
  <c r="D96" i="87"/>
  <c r="D95" i="87"/>
  <c r="D89" i="87"/>
  <c r="D42" i="87"/>
  <c r="D35" i="87"/>
  <c r="D153" i="87"/>
  <c r="D154" i="87"/>
  <c r="J57" i="91" l="1"/>
  <c r="J20" i="91"/>
  <c r="C29" i="91"/>
  <c r="E155" i="91"/>
  <c r="E174" i="91" s="1"/>
  <c r="J93" i="91"/>
  <c r="J96" i="91"/>
  <c r="J125" i="91"/>
  <c r="J137" i="91"/>
  <c r="J25" i="91"/>
  <c r="J22" i="93"/>
  <c r="J28" i="93"/>
  <c r="J37" i="93"/>
  <c r="J32" i="93" s="1"/>
  <c r="D57" i="93"/>
  <c r="C67" i="89"/>
  <c r="J33" i="91"/>
  <c r="H155" i="91"/>
  <c r="H174" i="91" s="1"/>
  <c r="C67" i="91"/>
  <c r="J29" i="93"/>
  <c r="J57" i="93"/>
  <c r="J129" i="93"/>
  <c r="J124" i="93" s="1"/>
  <c r="J144" i="91"/>
  <c r="J168" i="91"/>
  <c r="J96" i="93"/>
  <c r="C148" i="93"/>
  <c r="J20" i="89"/>
  <c r="C92" i="89"/>
  <c r="D22" i="91"/>
  <c r="D57" i="91"/>
  <c r="J138" i="91"/>
  <c r="G155" i="93"/>
  <c r="G174" i="93" s="1"/>
  <c r="J25" i="93"/>
  <c r="D29" i="93"/>
  <c r="J42" i="93"/>
  <c r="D92" i="93"/>
  <c r="J116" i="93"/>
  <c r="D148" i="93"/>
  <c r="J7" i="93"/>
  <c r="C15" i="93"/>
  <c r="J99" i="93"/>
  <c r="J67" i="93"/>
  <c r="J12" i="93"/>
  <c r="D15" i="93"/>
  <c r="C32" i="93"/>
  <c r="F67" i="93"/>
  <c r="F155" i="93" s="1"/>
  <c r="F174" i="93" s="1"/>
  <c r="J94" i="93"/>
  <c r="J92" i="93" s="1"/>
  <c r="C124" i="93"/>
  <c r="J150" i="93"/>
  <c r="J148" i="93" s="1"/>
  <c r="J168" i="93"/>
  <c r="J19" i="93"/>
  <c r="D67" i="93"/>
  <c r="C99" i="93"/>
  <c r="J163" i="93"/>
  <c r="J173" i="93" s="1"/>
  <c r="J22" i="91"/>
  <c r="D155" i="91"/>
  <c r="D174" i="91" s="1"/>
  <c r="J32" i="91"/>
  <c r="J99" i="91"/>
  <c r="J12" i="91"/>
  <c r="D15" i="91"/>
  <c r="C22" i="91"/>
  <c r="C7" i="91" s="1"/>
  <c r="C32" i="91"/>
  <c r="C155" i="91" s="1"/>
  <c r="C174" i="91" s="1"/>
  <c r="F67" i="91"/>
  <c r="F155" i="91" s="1"/>
  <c r="F174" i="91" s="1"/>
  <c r="J71" i="91"/>
  <c r="J67" i="91" s="1"/>
  <c r="J94" i="91"/>
  <c r="J92" i="91" s="1"/>
  <c r="C124" i="91"/>
  <c r="J150" i="91"/>
  <c r="J148" i="91" s="1"/>
  <c r="J19" i="91"/>
  <c r="D67" i="91"/>
  <c r="C99" i="91"/>
  <c r="J163" i="91"/>
  <c r="J173" i="91" s="1"/>
  <c r="C148" i="89"/>
  <c r="D15" i="89"/>
  <c r="C32" i="89"/>
  <c r="H155" i="89"/>
  <c r="H174" i="89" s="1"/>
  <c r="D92" i="89"/>
  <c r="J136" i="89"/>
  <c r="J142" i="89"/>
  <c r="J96" i="89"/>
  <c r="D22" i="89"/>
  <c r="C22" i="89"/>
  <c r="J42" i="89"/>
  <c r="J91" i="89"/>
  <c r="J125" i="89"/>
  <c r="J124" i="89" s="1"/>
  <c r="D173" i="89"/>
  <c r="J10" i="89"/>
  <c r="J9" i="89"/>
  <c r="F155" i="89"/>
  <c r="F174" i="89" s="1"/>
  <c r="G155" i="89"/>
  <c r="G174" i="89" s="1"/>
  <c r="J28" i="89"/>
  <c r="D57" i="89"/>
  <c r="E155" i="89"/>
  <c r="E174" i="89" s="1"/>
  <c r="J71" i="89"/>
  <c r="J81" i="89"/>
  <c r="J93" i="89"/>
  <c r="J92" i="89" s="1"/>
  <c r="J116" i="89"/>
  <c r="J99" i="89" s="1"/>
  <c r="D124" i="89"/>
  <c r="J144" i="89"/>
  <c r="J151" i="89"/>
  <c r="J148" i="89" s="1"/>
  <c r="J163" i="89"/>
  <c r="D29" i="89"/>
  <c r="D32" i="89"/>
  <c r="J33" i="89"/>
  <c r="D67" i="89"/>
  <c r="C124" i="89"/>
  <c r="C29" i="89"/>
  <c r="J35" i="89"/>
  <c r="J74" i="89"/>
  <c r="J67" i="89" s="1"/>
  <c r="C99" i="89"/>
  <c r="J138" i="89"/>
  <c r="D148" i="89"/>
  <c r="J29" i="89"/>
  <c r="J22" i="89"/>
  <c r="J57" i="89"/>
  <c r="J12" i="89"/>
  <c r="J168" i="89"/>
  <c r="C120" i="87"/>
  <c r="J120" i="87" s="1"/>
  <c r="C119" i="87"/>
  <c r="C149" i="87"/>
  <c r="C140" i="87"/>
  <c r="J140" i="87" s="1"/>
  <c r="C134" i="87"/>
  <c r="J134" i="87" s="1"/>
  <c r="C133" i="87"/>
  <c r="J133" i="87" s="1"/>
  <c r="C125" i="87"/>
  <c r="C113" i="87"/>
  <c r="J113" i="87" s="1"/>
  <c r="C110" i="87"/>
  <c r="C108" i="87"/>
  <c r="J108" i="87" s="1"/>
  <c r="C106" i="87"/>
  <c r="J106" i="87" s="1"/>
  <c r="C104" i="87"/>
  <c r="C102" i="87"/>
  <c r="J102" i="87" s="1"/>
  <c r="C88" i="87"/>
  <c r="J88" i="87" s="1"/>
  <c r="C80" i="87"/>
  <c r="J80" i="87" s="1"/>
  <c r="C72" i="87"/>
  <c r="J72" i="87" s="1"/>
  <c r="C71" i="87"/>
  <c r="D52" i="87"/>
  <c r="J52" i="87" s="1"/>
  <c r="C51" i="87"/>
  <c r="C49" i="87"/>
  <c r="J49" i="87" s="1"/>
  <c r="C48" i="87"/>
  <c r="J48" i="87" s="1"/>
  <c r="C45" i="87"/>
  <c r="J45" i="87" s="1"/>
  <c r="C44" i="87"/>
  <c r="J44" i="87" s="1"/>
  <c r="C43" i="87"/>
  <c r="J43" i="87" s="1"/>
  <c r="C42" i="87"/>
  <c r="J42" i="87" s="1"/>
  <c r="C41" i="87"/>
  <c r="J41" i="87" s="1"/>
  <c r="C39" i="87"/>
  <c r="J39" i="87" s="1"/>
  <c r="C38" i="87"/>
  <c r="C123" i="87"/>
  <c r="J123" i="87" s="1"/>
  <c r="D170" i="87"/>
  <c r="J170" i="87"/>
  <c r="D168" i="87"/>
  <c r="C136" i="87"/>
  <c r="J136" i="87" s="1"/>
  <c r="C135" i="87"/>
  <c r="C8" i="87"/>
  <c r="J8" i="87" s="1"/>
  <c r="I173" i="87"/>
  <c r="F173" i="87"/>
  <c r="E173" i="87"/>
  <c r="C173" i="87"/>
  <c r="J172" i="87"/>
  <c r="J171" i="87"/>
  <c r="J169" i="87"/>
  <c r="H168" i="87"/>
  <c r="H173" i="87" s="1"/>
  <c r="G167" i="87"/>
  <c r="J167" i="87" s="1"/>
  <c r="J166" i="87"/>
  <c r="G165" i="87"/>
  <c r="J165" i="87" s="1"/>
  <c r="J164" i="87"/>
  <c r="G163" i="87"/>
  <c r="J162" i="87"/>
  <c r="J161" i="87"/>
  <c r="J160" i="87"/>
  <c r="J159" i="87"/>
  <c r="J158" i="87"/>
  <c r="J157" i="87"/>
  <c r="J156" i="87"/>
  <c r="J154" i="87"/>
  <c r="J153" i="87"/>
  <c r="D152" i="87"/>
  <c r="J152" i="87" s="1"/>
  <c r="D151" i="87"/>
  <c r="C151" i="87"/>
  <c r="J151" i="87" s="1"/>
  <c r="D150" i="87"/>
  <c r="G148" i="87"/>
  <c r="D147" i="87"/>
  <c r="J147" i="87" s="1"/>
  <c r="J146" i="87"/>
  <c r="J145" i="87"/>
  <c r="D144" i="87"/>
  <c r="C144" i="87"/>
  <c r="C143" i="87"/>
  <c r="J143" i="87" s="1"/>
  <c r="D142" i="87"/>
  <c r="C142" i="87"/>
  <c r="J142" i="87" s="1"/>
  <c r="J141" i="87"/>
  <c r="J139" i="87"/>
  <c r="C138" i="87"/>
  <c r="J138" i="87" s="1"/>
  <c r="C137" i="87"/>
  <c r="J137" i="87" s="1"/>
  <c r="D135" i="87"/>
  <c r="J132" i="87"/>
  <c r="D131" i="87"/>
  <c r="J131" i="87" s="1"/>
  <c r="J130" i="87"/>
  <c r="J129" i="87"/>
  <c r="C128" i="87"/>
  <c r="J128" i="87" s="1"/>
  <c r="J127" i="87"/>
  <c r="C126" i="87"/>
  <c r="J126" i="87" s="1"/>
  <c r="D125" i="87"/>
  <c r="G124" i="87"/>
  <c r="F124" i="87"/>
  <c r="E124" i="87"/>
  <c r="J122" i="87"/>
  <c r="C121" i="87"/>
  <c r="J121" i="87" s="1"/>
  <c r="J119" i="87"/>
  <c r="J118" i="87"/>
  <c r="C117" i="87"/>
  <c r="J117" i="87" s="1"/>
  <c r="J116" i="87"/>
  <c r="D116" i="87"/>
  <c r="C116" i="87"/>
  <c r="C115" i="87"/>
  <c r="J115" i="87" s="1"/>
  <c r="J114" i="87"/>
  <c r="J112" i="87"/>
  <c r="J111" i="87"/>
  <c r="J110" i="87"/>
  <c r="J109" i="87"/>
  <c r="C109" i="87"/>
  <c r="J107" i="87"/>
  <c r="C105" i="87"/>
  <c r="J105" i="87" s="1"/>
  <c r="C103" i="87"/>
  <c r="J103" i="87" s="1"/>
  <c r="J101" i="87"/>
  <c r="C100" i="87"/>
  <c r="J100" i="87" s="1"/>
  <c r="I99" i="87"/>
  <c r="I155" i="87" s="1"/>
  <c r="H99" i="87"/>
  <c r="G99" i="87"/>
  <c r="F99" i="87"/>
  <c r="E99" i="87"/>
  <c r="D99" i="87"/>
  <c r="D98" i="87"/>
  <c r="J98" i="87" s="1"/>
  <c r="J97" i="87"/>
  <c r="G96" i="87"/>
  <c r="C96" i="87"/>
  <c r="J96" i="87" s="1"/>
  <c r="J95" i="87"/>
  <c r="C94" i="87"/>
  <c r="J94" i="87" s="1"/>
  <c r="J93" i="87"/>
  <c r="D93" i="87"/>
  <c r="D92" i="87" s="1"/>
  <c r="C93" i="87"/>
  <c r="H92" i="87"/>
  <c r="G92" i="87"/>
  <c r="E92" i="87"/>
  <c r="F91" i="87"/>
  <c r="D91" i="87"/>
  <c r="J90" i="87"/>
  <c r="J89" i="87"/>
  <c r="D87" i="87"/>
  <c r="J87" i="87" s="1"/>
  <c r="D86" i="87"/>
  <c r="J86" i="87" s="1"/>
  <c r="J85" i="87"/>
  <c r="J84" i="87"/>
  <c r="J83" i="87"/>
  <c r="J82" i="87"/>
  <c r="H81" i="87"/>
  <c r="F81" i="87"/>
  <c r="D79" i="87"/>
  <c r="J79" i="87" s="1"/>
  <c r="J78" i="87"/>
  <c r="F78" i="87"/>
  <c r="J77" i="87"/>
  <c r="D76" i="87"/>
  <c r="J76" i="87" s="1"/>
  <c r="D75" i="87"/>
  <c r="J75" i="87" s="1"/>
  <c r="D74" i="87"/>
  <c r="C74" i="87"/>
  <c r="J74" i="87" s="1"/>
  <c r="D73" i="87"/>
  <c r="J73" i="87" s="1"/>
  <c r="D70" i="87"/>
  <c r="J70" i="87" s="1"/>
  <c r="J69" i="87"/>
  <c r="J68" i="87"/>
  <c r="H67" i="87"/>
  <c r="E67" i="87"/>
  <c r="E155" i="87" s="1"/>
  <c r="E174" i="87" s="1"/>
  <c r="J66" i="87"/>
  <c r="D65" i="87"/>
  <c r="J65" i="87" s="1"/>
  <c r="J64" i="87"/>
  <c r="J63" i="87"/>
  <c r="J62" i="87"/>
  <c r="J61" i="87"/>
  <c r="J60" i="87"/>
  <c r="D60" i="87"/>
  <c r="D59" i="87"/>
  <c r="J59" i="87" s="1"/>
  <c r="J58" i="87"/>
  <c r="D58" i="87"/>
  <c r="C57" i="87"/>
  <c r="J56" i="87"/>
  <c r="J55" i="87"/>
  <c r="D55" i="87"/>
  <c r="J54" i="87"/>
  <c r="D53" i="87"/>
  <c r="J53" i="87" s="1"/>
  <c r="J51" i="87"/>
  <c r="C50" i="87"/>
  <c r="J50" i="87" s="1"/>
  <c r="C47" i="87"/>
  <c r="J47" i="87" s="1"/>
  <c r="J46" i="87"/>
  <c r="D40" i="87"/>
  <c r="J40" i="87" s="1"/>
  <c r="D38" i="87"/>
  <c r="D37" i="87"/>
  <c r="J37" i="87" s="1"/>
  <c r="C37" i="87"/>
  <c r="J36" i="87"/>
  <c r="C35" i="87"/>
  <c r="J35" i="87" s="1"/>
  <c r="C34" i="87"/>
  <c r="J34" i="87" s="1"/>
  <c r="D33" i="87"/>
  <c r="C33" i="87"/>
  <c r="G32" i="87"/>
  <c r="D31" i="87"/>
  <c r="J31" i="87" s="1"/>
  <c r="C30" i="87"/>
  <c r="J30" i="87" s="1"/>
  <c r="D28" i="87"/>
  <c r="C28" i="87"/>
  <c r="J28" i="87" s="1"/>
  <c r="C27" i="87"/>
  <c r="J27" i="87" s="1"/>
  <c r="C26" i="87"/>
  <c r="J26" i="87" s="1"/>
  <c r="D25" i="87"/>
  <c r="C25" i="87"/>
  <c r="J25" i="87" s="1"/>
  <c r="J24" i="87"/>
  <c r="D24" i="87"/>
  <c r="J23" i="87"/>
  <c r="H22" i="87"/>
  <c r="D22" i="87"/>
  <c r="J21" i="87"/>
  <c r="G20" i="87"/>
  <c r="D20" i="87"/>
  <c r="C20" i="87"/>
  <c r="F19" i="87"/>
  <c r="C19" i="87"/>
  <c r="J19" i="87" s="1"/>
  <c r="I15" i="87"/>
  <c r="H15" i="87"/>
  <c r="G15" i="87"/>
  <c r="E15" i="87"/>
  <c r="J14" i="87"/>
  <c r="J13" i="87"/>
  <c r="F12" i="87"/>
  <c r="F15" i="87" s="1"/>
  <c r="J11" i="87"/>
  <c r="D10" i="87"/>
  <c r="C10" i="87"/>
  <c r="D9" i="87"/>
  <c r="D70" i="85"/>
  <c r="D98" i="85"/>
  <c r="J98" i="85" s="1"/>
  <c r="D74" i="85"/>
  <c r="D73" i="85"/>
  <c r="D60" i="85"/>
  <c r="D28" i="85"/>
  <c r="D58" i="85"/>
  <c r="D31" i="85"/>
  <c r="J31" i="85" s="1"/>
  <c r="D25" i="85"/>
  <c r="D24" i="85"/>
  <c r="D20" i="85"/>
  <c r="D86" i="85"/>
  <c r="D55" i="85"/>
  <c r="J55" i="85" s="1"/>
  <c r="D38" i="85"/>
  <c r="D135" i="85"/>
  <c r="C28" i="85"/>
  <c r="C26" i="85"/>
  <c r="J26" i="85" s="1"/>
  <c r="C30" i="85"/>
  <c r="C48" i="85"/>
  <c r="J48" i="85" s="1"/>
  <c r="C50" i="85"/>
  <c r="J50" i="85" s="1"/>
  <c r="C106" i="85"/>
  <c r="J106" i="85" s="1"/>
  <c r="C51" i="85"/>
  <c r="J51" i="85" s="1"/>
  <c r="C143" i="85"/>
  <c r="J143" i="85" s="1"/>
  <c r="C149" i="85"/>
  <c r="J149" i="85" s="1"/>
  <c r="D147" i="85"/>
  <c r="D152" i="85"/>
  <c r="J152" i="85" s="1"/>
  <c r="C133" i="85"/>
  <c r="C125" i="85"/>
  <c r="C123" i="85"/>
  <c r="J123" i="85" s="1"/>
  <c r="C121" i="85"/>
  <c r="C119" i="85"/>
  <c r="J119" i="85" s="1"/>
  <c r="C116" i="85"/>
  <c r="C104" i="85"/>
  <c r="J104" i="85" s="1"/>
  <c r="C105" i="85"/>
  <c r="J105" i="85" s="1"/>
  <c r="C103" i="85"/>
  <c r="J103" i="85" s="1"/>
  <c r="C109" i="85"/>
  <c r="J109" i="85" s="1"/>
  <c r="C10" i="85"/>
  <c r="C102" i="85"/>
  <c r="C100" i="85"/>
  <c r="C88" i="85"/>
  <c r="J88" i="85" s="1"/>
  <c r="C110" i="85"/>
  <c r="J110" i="85" s="1"/>
  <c r="J100" i="85"/>
  <c r="C96" i="85"/>
  <c r="C74" i="85"/>
  <c r="C47" i="85"/>
  <c r="J47" i="85" s="1"/>
  <c r="C45" i="85"/>
  <c r="J45" i="85" s="1"/>
  <c r="C44" i="85"/>
  <c r="J44" i="85" s="1"/>
  <c r="C43" i="85"/>
  <c r="C42" i="85"/>
  <c r="C41" i="85"/>
  <c r="J41" i="85" s="1"/>
  <c r="C39" i="85"/>
  <c r="C38" i="85"/>
  <c r="C33" i="85"/>
  <c r="C135" i="85"/>
  <c r="C136" i="85"/>
  <c r="J136" i="85" s="1"/>
  <c r="C137" i="85"/>
  <c r="J137" i="85" s="1"/>
  <c r="C37" i="85"/>
  <c r="C35" i="85"/>
  <c r="C34" i="85"/>
  <c r="J34" i="85" s="1"/>
  <c r="I173" i="85"/>
  <c r="F173" i="85"/>
  <c r="E173" i="85"/>
  <c r="D173" i="85"/>
  <c r="C173" i="85"/>
  <c r="J172" i="85"/>
  <c r="J171" i="85"/>
  <c r="J170" i="85"/>
  <c r="J169" i="85"/>
  <c r="H168" i="85"/>
  <c r="H173" i="85" s="1"/>
  <c r="G167" i="85"/>
  <c r="J167" i="85" s="1"/>
  <c r="J166" i="85"/>
  <c r="G165" i="85"/>
  <c r="J165" i="85" s="1"/>
  <c r="J164" i="85"/>
  <c r="G163" i="85"/>
  <c r="G173" i="85" s="1"/>
  <c r="J162" i="85"/>
  <c r="J161" i="85"/>
  <c r="J160" i="85"/>
  <c r="J159" i="85"/>
  <c r="J158" i="85"/>
  <c r="J157" i="85"/>
  <c r="J156" i="85"/>
  <c r="J154" i="85"/>
  <c r="D153" i="85"/>
  <c r="J153" i="85" s="1"/>
  <c r="D151" i="85"/>
  <c r="J151" i="85" s="1"/>
  <c r="C151" i="85"/>
  <c r="J150" i="85"/>
  <c r="D150" i="85"/>
  <c r="G148" i="85"/>
  <c r="J147" i="85"/>
  <c r="J146" i="85"/>
  <c r="J145" i="85"/>
  <c r="D144" i="85"/>
  <c r="C144" i="85"/>
  <c r="D142" i="85"/>
  <c r="J142" i="85" s="1"/>
  <c r="C142" i="85"/>
  <c r="J141" i="85"/>
  <c r="C140" i="85"/>
  <c r="J140" i="85" s="1"/>
  <c r="J139" i="85"/>
  <c r="C138" i="85"/>
  <c r="J138" i="85" s="1"/>
  <c r="J134" i="85"/>
  <c r="J133" i="85"/>
  <c r="J132" i="85"/>
  <c r="D131" i="85"/>
  <c r="J131" i="85" s="1"/>
  <c r="D130" i="85"/>
  <c r="J130" i="85" s="1"/>
  <c r="J129" i="85"/>
  <c r="C128" i="85"/>
  <c r="J128" i="85" s="1"/>
  <c r="J127" i="85"/>
  <c r="C126" i="85"/>
  <c r="D125" i="85"/>
  <c r="G124" i="85"/>
  <c r="F124" i="85"/>
  <c r="E124" i="85"/>
  <c r="J122" i="85"/>
  <c r="J121" i="85"/>
  <c r="C120" i="85"/>
  <c r="J120" i="85" s="1"/>
  <c r="J118" i="85"/>
  <c r="C117" i="85"/>
  <c r="J117" i="85" s="1"/>
  <c r="D116" i="85"/>
  <c r="C115" i="85"/>
  <c r="J115" i="85" s="1"/>
  <c r="J114" i="85"/>
  <c r="C113" i="85"/>
  <c r="J113" i="85" s="1"/>
  <c r="J112" i="85"/>
  <c r="J111" i="85"/>
  <c r="C108" i="85"/>
  <c r="J108" i="85" s="1"/>
  <c r="J107" i="85"/>
  <c r="J101" i="85"/>
  <c r="I99" i="85"/>
  <c r="I155" i="85" s="1"/>
  <c r="I174" i="85" s="1"/>
  <c r="H99" i="85"/>
  <c r="G99" i="85"/>
  <c r="F99" i="85"/>
  <c r="E99" i="85"/>
  <c r="D99" i="85"/>
  <c r="J97" i="85"/>
  <c r="G96" i="85"/>
  <c r="D96" i="85"/>
  <c r="D95" i="85"/>
  <c r="J95" i="85" s="1"/>
  <c r="C94" i="85"/>
  <c r="J94" i="85" s="1"/>
  <c r="D93" i="85"/>
  <c r="C93" i="85"/>
  <c r="H92" i="85"/>
  <c r="G92" i="85"/>
  <c r="E92" i="85"/>
  <c r="F91" i="85"/>
  <c r="D91" i="85"/>
  <c r="J90" i="85"/>
  <c r="D89" i="85"/>
  <c r="J89" i="85" s="1"/>
  <c r="D87" i="85"/>
  <c r="J87" i="85" s="1"/>
  <c r="J86" i="85"/>
  <c r="J85" i="85"/>
  <c r="J84" i="85"/>
  <c r="J83" i="85"/>
  <c r="J82" i="85"/>
  <c r="H81" i="85"/>
  <c r="F81" i="85"/>
  <c r="J81" i="85" s="1"/>
  <c r="C80" i="85"/>
  <c r="J80" i="85" s="1"/>
  <c r="D79" i="85"/>
  <c r="J79" i="85" s="1"/>
  <c r="F78" i="85"/>
  <c r="J78" i="85" s="1"/>
  <c r="J77" i="85"/>
  <c r="J76" i="85"/>
  <c r="D76" i="85"/>
  <c r="D75" i="85"/>
  <c r="J75" i="85" s="1"/>
  <c r="J73" i="85"/>
  <c r="C72" i="85"/>
  <c r="J72" i="85" s="1"/>
  <c r="J71" i="85"/>
  <c r="J70" i="85"/>
  <c r="J69" i="85"/>
  <c r="J68" i="85"/>
  <c r="H67" i="85"/>
  <c r="E67" i="85"/>
  <c r="E155" i="85" s="1"/>
  <c r="E174" i="85" s="1"/>
  <c r="J66" i="85"/>
  <c r="D65" i="85"/>
  <c r="J65" i="85" s="1"/>
  <c r="J64" i="85"/>
  <c r="J63" i="85"/>
  <c r="J62" i="85"/>
  <c r="J61" i="85"/>
  <c r="J60" i="85"/>
  <c r="D59" i="85"/>
  <c r="J59" i="85" s="1"/>
  <c r="J58" i="85"/>
  <c r="C57" i="85"/>
  <c r="J56" i="85"/>
  <c r="J54" i="85"/>
  <c r="D53" i="85"/>
  <c r="J53" i="85" s="1"/>
  <c r="J52" i="85"/>
  <c r="C49" i="85"/>
  <c r="J49" i="85" s="1"/>
  <c r="J46" i="85"/>
  <c r="J43" i="85"/>
  <c r="D42" i="85"/>
  <c r="D40" i="85"/>
  <c r="J40" i="85" s="1"/>
  <c r="J39" i="85"/>
  <c r="J38" i="85"/>
  <c r="D37" i="85"/>
  <c r="J37" i="85" s="1"/>
  <c r="J36" i="85"/>
  <c r="D35" i="85"/>
  <c r="D33" i="85"/>
  <c r="G32" i="85"/>
  <c r="J30" i="85"/>
  <c r="C29" i="85"/>
  <c r="C27" i="85"/>
  <c r="J27" i="85" s="1"/>
  <c r="C25" i="85"/>
  <c r="J25" i="85" s="1"/>
  <c r="J24" i="85"/>
  <c r="J23" i="85"/>
  <c r="H22" i="85"/>
  <c r="J21" i="85"/>
  <c r="G20" i="85"/>
  <c r="C20" i="85"/>
  <c r="F19" i="85"/>
  <c r="D19" i="85"/>
  <c r="C19" i="85"/>
  <c r="J19" i="85" s="1"/>
  <c r="I15" i="85"/>
  <c r="H15" i="85"/>
  <c r="G15" i="85"/>
  <c r="F15" i="85"/>
  <c r="E15" i="85"/>
  <c r="J14" i="85"/>
  <c r="J13" i="85"/>
  <c r="J12" i="85"/>
  <c r="F12" i="85"/>
  <c r="J11" i="85"/>
  <c r="D10" i="85"/>
  <c r="D15" i="85" s="1"/>
  <c r="J9" i="85"/>
  <c r="D9" i="85"/>
  <c r="C8" i="85"/>
  <c r="J8" i="85" s="1"/>
  <c r="D10" i="83"/>
  <c r="D9" i="83"/>
  <c r="J9" i="83" s="1"/>
  <c r="D95" i="83"/>
  <c r="D89" i="83"/>
  <c r="J89" i="83" s="1"/>
  <c r="D96" i="83"/>
  <c r="C105" i="83"/>
  <c r="J105" i="83" s="1"/>
  <c r="C120" i="83"/>
  <c r="J120" i="83" s="1"/>
  <c r="C110" i="83"/>
  <c r="D98" i="83"/>
  <c r="J98" i="83" s="1"/>
  <c r="D86" i="83"/>
  <c r="J86" i="83" s="1"/>
  <c r="D42" i="83"/>
  <c r="J42" i="83" s="1"/>
  <c r="D55" i="83"/>
  <c r="J55" i="83" s="1"/>
  <c r="I173" i="83"/>
  <c r="E173" i="83"/>
  <c r="D173" i="83"/>
  <c r="C173" i="83"/>
  <c r="J172" i="83"/>
  <c r="J171" i="83"/>
  <c r="J170" i="83"/>
  <c r="J169" i="83"/>
  <c r="H168" i="83"/>
  <c r="H173" i="83" s="1"/>
  <c r="G167" i="83"/>
  <c r="J167" i="83" s="1"/>
  <c r="J166" i="83"/>
  <c r="G165" i="83"/>
  <c r="J165" i="83" s="1"/>
  <c r="J164" i="83"/>
  <c r="G163" i="83"/>
  <c r="J162" i="83"/>
  <c r="J161" i="83"/>
  <c r="J160" i="83"/>
  <c r="J159" i="83"/>
  <c r="J158" i="83"/>
  <c r="F173" i="83"/>
  <c r="J156" i="83"/>
  <c r="J154" i="83"/>
  <c r="D153" i="83"/>
  <c r="J153" i="83" s="1"/>
  <c r="D152" i="83"/>
  <c r="J152" i="83" s="1"/>
  <c r="D151" i="83"/>
  <c r="C151" i="83"/>
  <c r="D150" i="83"/>
  <c r="J150" i="83" s="1"/>
  <c r="J149" i="83"/>
  <c r="G148" i="83"/>
  <c r="C148" i="83"/>
  <c r="D147" i="83"/>
  <c r="J147" i="83" s="1"/>
  <c r="J146" i="83"/>
  <c r="J145" i="83"/>
  <c r="D144" i="83"/>
  <c r="C144" i="83"/>
  <c r="J143" i="83"/>
  <c r="D142" i="83"/>
  <c r="C142" i="83"/>
  <c r="J141" i="83"/>
  <c r="C140" i="83"/>
  <c r="J140" i="83" s="1"/>
  <c r="J139" i="83"/>
  <c r="C138" i="83"/>
  <c r="J138" i="83" s="1"/>
  <c r="C137" i="83"/>
  <c r="J137" i="83" s="1"/>
  <c r="C136" i="83"/>
  <c r="J136" i="83" s="1"/>
  <c r="D135" i="83"/>
  <c r="C135" i="83"/>
  <c r="J134" i="83"/>
  <c r="C133" i="83"/>
  <c r="J133" i="83" s="1"/>
  <c r="J132" i="83"/>
  <c r="D131" i="83"/>
  <c r="J131" i="83" s="1"/>
  <c r="D130" i="83"/>
  <c r="J130" i="83" s="1"/>
  <c r="J129" i="83"/>
  <c r="C128" i="83"/>
  <c r="J128" i="83" s="1"/>
  <c r="J127" i="83"/>
  <c r="C126" i="83"/>
  <c r="J126" i="83" s="1"/>
  <c r="D125" i="83"/>
  <c r="C125" i="83"/>
  <c r="G124" i="83"/>
  <c r="F124" i="83"/>
  <c r="E124" i="83"/>
  <c r="C123" i="83"/>
  <c r="J123" i="83" s="1"/>
  <c r="J122" i="83"/>
  <c r="C121" i="83"/>
  <c r="J121" i="83" s="1"/>
  <c r="C119" i="83"/>
  <c r="J119" i="83" s="1"/>
  <c r="J118" i="83"/>
  <c r="C117" i="83"/>
  <c r="J117" i="83" s="1"/>
  <c r="D116" i="83"/>
  <c r="D99" i="83" s="1"/>
  <c r="C116" i="83"/>
  <c r="C115" i="83"/>
  <c r="J115" i="83" s="1"/>
  <c r="J114" i="83"/>
  <c r="C113" i="83"/>
  <c r="J113" i="83" s="1"/>
  <c r="J112" i="83"/>
  <c r="J111" i="83"/>
  <c r="J110" i="83"/>
  <c r="C109" i="83"/>
  <c r="J109" i="83" s="1"/>
  <c r="C108" i="83"/>
  <c r="J108" i="83" s="1"/>
  <c r="J107" i="83"/>
  <c r="C106" i="83"/>
  <c r="J106" i="83" s="1"/>
  <c r="J104" i="83"/>
  <c r="J103" i="83"/>
  <c r="C102" i="83"/>
  <c r="J102" i="83" s="1"/>
  <c r="J101" i="83"/>
  <c r="J100" i="83"/>
  <c r="I99" i="83"/>
  <c r="I155" i="83" s="1"/>
  <c r="H99" i="83"/>
  <c r="G99" i="83"/>
  <c r="F99" i="83"/>
  <c r="E99" i="83"/>
  <c r="J97" i="83"/>
  <c r="G96" i="83"/>
  <c r="G92" i="83" s="1"/>
  <c r="C96" i="83"/>
  <c r="J95" i="83"/>
  <c r="C94" i="83"/>
  <c r="J94" i="83" s="1"/>
  <c r="D93" i="83"/>
  <c r="C93" i="83"/>
  <c r="H92" i="83"/>
  <c r="E92" i="83"/>
  <c r="F91" i="83"/>
  <c r="D91" i="83"/>
  <c r="J90" i="83"/>
  <c r="J88" i="83"/>
  <c r="D87" i="83"/>
  <c r="J87" i="83" s="1"/>
  <c r="J85" i="83"/>
  <c r="J84" i="83"/>
  <c r="J83" i="83"/>
  <c r="J82" i="83"/>
  <c r="H81" i="83"/>
  <c r="F81" i="83"/>
  <c r="C80" i="83"/>
  <c r="J80" i="83" s="1"/>
  <c r="D79" i="83"/>
  <c r="J79" i="83" s="1"/>
  <c r="F78" i="83"/>
  <c r="J78" i="83" s="1"/>
  <c r="J77" i="83"/>
  <c r="D76" i="83"/>
  <c r="J76" i="83" s="1"/>
  <c r="D75" i="83"/>
  <c r="J75" i="83" s="1"/>
  <c r="D74" i="83"/>
  <c r="C74" i="83"/>
  <c r="D73" i="83"/>
  <c r="J73" i="83" s="1"/>
  <c r="C72" i="83"/>
  <c r="J71" i="83"/>
  <c r="J70" i="83"/>
  <c r="J69" i="83"/>
  <c r="J68" i="83"/>
  <c r="E67" i="83"/>
  <c r="J66" i="83"/>
  <c r="D65" i="83"/>
  <c r="J65" i="83" s="1"/>
  <c r="J64" i="83"/>
  <c r="J63" i="83"/>
  <c r="J62" i="83"/>
  <c r="J61" i="83"/>
  <c r="D60" i="83"/>
  <c r="J60" i="83" s="1"/>
  <c r="D59" i="83"/>
  <c r="J59" i="83" s="1"/>
  <c r="D58" i="83"/>
  <c r="C57" i="83"/>
  <c r="J56" i="83"/>
  <c r="J54" i="83"/>
  <c r="D53" i="83"/>
  <c r="J53" i="83" s="1"/>
  <c r="J52" i="83"/>
  <c r="C51" i="83"/>
  <c r="J51" i="83" s="1"/>
  <c r="C50" i="83"/>
  <c r="J50" i="83" s="1"/>
  <c r="C49" i="83"/>
  <c r="J49" i="83" s="1"/>
  <c r="C48" i="83"/>
  <c r="J48" i="83" s="1"/>
  <c r="C47" i="83"/>
  <c r="J47" i="83" s="1"/>
  <c r="J46" i="83"/>
  <c r="C45" i="83"/>
  <c r="J45" i="83" s="1"/>
  <c r="J44" i="83"/>
  <c r="J43" i="83"/>
  <c r="J41" i="83"/>
  <c r="D40" i="83"/>
  <c r="J40" i="83" s="1"/>
  <c r="J39" i="83"/>
  <c r="J38" i="83"/>
  <c r="D37" i="83"/>
  <c r="J37" i="83" s="1"/>
  <c r="J36" i="83"/>
  <c r="D35" i="83"/>
  <c r="J34" i="83"/>
  <c r="D33" i="83"/>
  <c r="J33" i="83" s="1"/>
  <c r="G32" i="83"/>
  <c r="J31" i="83"/>
  <c r="J30" i="83"/>
  <c r="D29" i="83"/>
  <c r="C29" i="83"/>
  <c r="C28" i="83"/>
  <c r="J28" i="83" s="1"/>
  <c r="C27" i="83"/>
  <c r="J27" i="83" s="1"/>
  <c r="C26" i="83"/>
  <c r="J26" i="83" s="1"/>
  <c r="D25" i="83"/>
  <c r="D22" i="83" s="1"/>
  <c r="C25" i="83"/>
  <c r="J24" i="83"/>
  <c r="J23" i="83"/>
  <c r="H22" i="83"/>
  <c r="J21" i="83"/>
  <c r="G20" i="83"/>
  <c r="C20" i="83"/>
  <c r="F19" i="83"/>
  <c r="D19" i="83"/>
  <c r="C19" i="83"/>
  <c r="I15" i="83"/>
  <c r="H15" i="83"/>
  <c r="G15" i="83"/>
  <c r="E15" i="83"/>
  <c r="J14" i="83"/>
  <c r="J13" i="83"/>
  <c r="F12" i="83"/>
  <c r="F15" i="83" s="1"/>
  <c r="J11" i="83"/>
  <c r="C10" i="83"/>
  <c r="C8" i="83"/>
  <c r="J8" i="83" s="1"/>
  <c r="E99" i="81"/>
  <c r="F99" i="81"/>
  <c r="G99" i="81"/>
  <c r="H99" i="81"/>
  <c r="I99" i="81"/>
  <c r="G96" i="81"/>
  <c r="C173" i="81"/>
  <c r="D173" i="81"/>
  <c r="E173" i="81"/>
  <c r="I173" i="81"/>
  <c r="J172" i="81"/>
  <c r="F164" i="81"/>
  <c r="J164" i="81" s="1"/>
  <c r="D42" i="81"/>
  <c r="D60" i="81"/>
  <c r="D95" i="81"/>
  <c r="D131" i="81"/>
  <c r="D125" i="81"/>
  <c r="D53" i="81"/>
  <c r="C106" i="81"/>
  <c r="C133" i="81"/>
  <c r="C10" i="81"/>
  <c r="C151" i="81"/>
  <c r="C96" i="81"/>
  <c r="C117" i="81"/>
  <c r="C116" i="81"/>
  <c r="C113" i="81"/>
  <c r="C109" i="81"/>
  <c r="C102" i="81"/>
  <c r="C110" i="81"/>
  <c r="J166" i="81"/>
  <c r="J169" i="81"/>
  <c r="J170" i="81"/>
  <c r="J171" i="81"/>
  <c r="J162" i="81"/>
  <c r="G167" i="81"/>
  <c r="J167" i="81" s="1"/>
  <c r="G165" i="81"/>
  <c r="J165" i="81" s="1"/>
  <c r="G163" i="81"/>
  <c r="J163" i="81" s="1"/>
  <c r="D151" i="81"/>
  <c r="D150" i="81"/>
  <c r="D152" i="81"/>
  <c r="H155" i="85" l="1"/>
  <c r="H174" i="85" s="1"/>
  <c r="J93" i="85"/>
  <c r="J28" i="85"/>
  <c r="D15" i="87"/>
  <c r="D57" i="87"/>
  <c r="F67" i="87"/>
  <c r="C92" i="87"/>
  <c r="J19" i="83"/>
  <c r="J25" i="83"/>
  <c r="C67" i="83"/>
  <c r="J135" i="83"/>
  <c r="J151" i="83"/>
  <c r="J10" i="87"/>
  <c r="J57" i="87"/>
  <c r="J144" i="87"/>
  <c r="J38" i="87"/>
  <c r="J124" i="91"/>
  <c r="C155" i="93"/>
  <c r="C174" i="93" s="1"/>
  <c r="D57" i="83"/>
  <c r="J91" i="85"/>
  <c r="G155" i="87"/>
  <c r="D124" i="87"/>
  <c r="D148" i="87"/>
  <c r="D155" i="93"/>
  <c r="D174" i="93" s="1"/>
  <c r="J15" i="93"/>
  <c r="J155" i="93"/>
  <c r="J174" i="93" s="1"/>
  <c r="J7" i="91"/>
  <c r="J15" i="91" s="1"/>
  <c r="C15" i="91"/>
  <c r="J155" i="91"/>
  <c r="J174" i="91" s="1"/>
  <c r="C7" i="89"/>
  <c r="J7" i="89" s="1"/>
  <c r="J15" i="89" s="1"/>
  <c r="D155" i="89"/>
  <c r="D174" i="89" s="1"/>
  <c r="J32" i="89"/>
  <c r="J155" i="89" s="1"/>
  <c r="C15" i="89"/>
  <c r="C155" i="89"/>
  <c r="C174" i="89" s="1"/>
  <c r="J173" i="89"/>
  <c r="J20" i="87"/>
  <c r="J91" i="87"/>
  <c r="C22" i="87"/>
  <c r="D29" i="87"/>
  <c r="J33" i="87"/>
  <c r="H155" i="87"/>
  <c r="H174" i="87" s="1"/>
  <c r="I174" i="87"/>
  <c r="G173" i="87"/>
  <c r="G174" i="87" s="1"/>
  <c r="J29" i="87"/>
  <c r="J12" i="87"/>
  <c r="F155" i="87"/>
  <c r="F174" i="87" s="1"/>
  <c r="J22" i="87"/>
  <c r="J81" i="87"/>
  <c r="J135" i="87"/>
  <c r="J125" i="87"/>
  <c r="J124" i="87" s="1"/>
  <c r="C148" i="87"/>
  <c r="J149" i="87"/>
  <c r="C99" i="87"/>
  <c r="J104" i="87"/>
  <c r="J99" i="87" s="1"/>
  <c r="C67" i="87"/>
  <c r="J71" i="87"/>
  <c r="C32" i="87"/>
  <c r="D173" i="87"/>
  <c r="C124" i="87"/>
  <c r="J92" i="87"/>
  <c r="J32" i="87"/>
  <c r="J9" i="87"/>
  <c r="J163" i="87"/>
  <c r="J168" i="87"/>
  <c r="C29" i="87"/>
  <c r="D32" i="87"/>
  <c r="D67" i="87"/>
  <c r="J150" i="87"/>
  <c r="J148" i="87" s="1"/>
  <c r="J96" i="85"/>
  <c r="C92" i="85"/>
  <c r="J116" i="85"/>
  <c r="J125" i="85"/>
  <c r="D22" i="85"/>
  <c r="D92" i="85"/>
  <c r="J33" i="85"/>
  <c r="D57" i="85"/>
  <c r="J144" i="85"/>
  <c r="D124" i="85"/>
  <c r="J74" i="85"/>
  <c r="J67" i="85" s="1"/>
  <c r="J57" i="85"/>
  <c r="D29" i="85"/>
  <c r="J20" i="85"/>
  <c r="J135" i="85"/>
  <c r="J29" i="85"/>
  <c r="C148" i="85"/>
  <c r="J148" i="85"/>
  <c r="C99" i="85"/>
  <c r="J102" i="85"/>
  <c r="J99" i="85" s="1"/>
  <c r="J92" i="85"/>
  <c r="J42" i="85"/>
  <c r="J32" i="85" s="1"/>
  <c r="J35" i="85"/>
  <c r="C124" i="85"/>
  <c r="J22" i="85"/>
  <c r="D32" i="85"/>
  <c r="C67" i="85"/>
  <c r="C22" i="85"/>
  <c r="C7" i="85" s="1"/>
  <c r="C32" i="85"/>
  <c r="F67" i="85"/>
  <c r="F155" i="85" s="1"/>
  <c r="F174" i="85" s="1"/>
  <c r="J126" i="85"/>
  <c r="G155" i="85"/>
  <c r="G174" i="85" s="1"/>
  <c r="J163" i="85"/>
  <c r="J168" i="85"/>
  <c r="J10" i="85"/>
  <c r="D67" i="85"/>
  <c r="D148" i="85"/>
  <c r="J10" i="83"/>
  <c r="J20" i="83"/>
  <c r="F67" i="83"/>
  <c r="J81" i="83"/>
  <c r="J91" i="83"/>
  <c r="J93" i="83"/>
  <c r="J142" i="83"/>
  <c r="D124" i="83"/>
  <c r="J144" i="83"/>
  <c r="G173" i="83"/>
  <c r="J148" i="83"/>
  <c r="F155" i="83"/>
  <c r="H67" i="83"/>
  <c r="H155" i="83" s="1"/>
  <c r="H174" i="83" s="1"/>
  <c r="J74" i="83"/>
  <c r="I174" i="83"/>
  <c r="J116" i="83"/>
  <c r="D148" i="83"/>
  <c r="J22" i="83"/>
  <c r="C32" i="83"/>
  <c r="J12" i="83"/>
  <c r="J29" i="83"/>
  <c r="E155" i="83"/>
  <c r="E174" i="83" s="1"/>
  <c r="J72" i="83"/>
  <c r="J67" i="83" s="1"/>
  <c r="J125" i="83"/>
  <c r="J163" i="83"/>
  <c r="D15" i="83"/>
  <c r="C99" i="83"/>
  <c r="D92" i="83"/>
  <c r="J96" i="83"/>
  <c r="J92" i="83" s="1"/>
  <c r="D67" i="83"/>
  <c r="D32" i="83"/>
  <c r="F174" i="83"/>
  <c r="G155" i="83"/>
  <c r="G174" i="83" s="1"/>
  <c r="J99" i="83"/>
  <c r="J124" i="83"/>
  <c r="C22" i="83"/>
  <c r="C7" i="83" s="1"/>
  <c r="J35" i="83"/>
  <c r="J32" i="83" s="1"/>
  <c r="J58" i="83"/>
  <c r="J57" i="83" s="1"/>
  <c r="C124" i="83"/>
  <c r="J157" i="83"/>
  <c r="J168" i="83"/>
  <c r="C92" i="83"/>
  <c r="G173" i="81"/>
  <c r="F173" i="81"/>
  <c r="H168" i="81"/>
  <c r="J161" i="81"/>
  <c r="J160" i="81"/>
  <c r="J159" i="81"/>
  <c r="J158" i="81"/>
  <c r="F157" i="81"/>
  <c r="J157" i="81" s="1"/>
  <c r="J156" i="81"/>
  <c r="I155" i="81"/>
  <c r="I174" i="81" s="1"/>
  <c r="J154" i="81"/>
  <c r="D153" i="81"/>
  <c r="J153" i="81" s="1"/>
  <c r="J152" i="81"/>
  <c r="J151" i="81"/>
  <c r="J150" i="81"/>
  <c r="J149" i="81"/>
  <c r="G148" i="81"/>
  <c r="D148" i="81"/>
  <c r="C148" i="81"/>
  <c r="D147" i="81"/>
  <c r="J147" i="81" s="1"/>
  <c r="J146" i="81"/>
  <c r="J145" i="81"/>
  <c r="D144" i="81"/>
  <c r="C144" i="81"/>
  <c r="J144" i="81" s="1"/>
  <c r="J143" i="81"/>
  <c r="D142" i="81"/>
  <c r="C142" i="81"/>
  <c r="J141" i="81"/>
  <c r="C140" i="81"/>
  <c r="J140" i="81" s="1"/>
  <c r="J139" i="81"/>
  <c r="C138" i="81"/>
  <c r="J138" i="81" s="1"/>
  <c r="C137" i="81"/>
  <c r="J137" i="81" s="1"/>
  <c r="C136" i="81"/>
  <c r="J136" i="81" s="1"/>
  <c r="D135" i="81"/>
  <c r="C135" i="81"/>
  <c r="J134" i="81"/>
  <c r="J133" i="81"/>
  <c r="J132" i="81"/>
  <c r="J131" i="81"/>
  <c r="D130" i="81"/>
  <c r="J130" i="81" s="1"/>
  <c r="J129" i="81"/>
  <c r="C128" i="81"/>
  <c r="J128" i="81" s="1"/>
  <c r="J127" i="81"/>
  <c r="C126" i="81"/>
  <c r="J126" i="81" s="1"/>
  <c r="C125" i="81"/>
  <c r="J125" i="81" s="1"/>
  <c r="G124" i="81"/>
  <c r="F124" i="81"/>
  <c r="E124" i="81"/>
  <c r="C123" i="81"/>
  <c r="J123" i="81" s="1"/>
  <c r="J122" i="81"/>
  <c r="C121" i="81"/>
  <c r="J121" i="81" s="1"/>
  <c r="J120" i="81"/>
  <c r="C119" i="81"/>
  <c r="J119" i="81" s="1"/>
  <c r="J118" i="81"/>
  <c r="J117" i="81"/>
  <c r="D116" i="81"/>
  <c r="D99" i="81" s="1"/>
  <c r="J116" i="81"/>
  <c r="C115" i="81"/>
  <c r="J115" i="81" s="1"/>
  <c r="J114" i="81"/>
  <c r="J113" i="81"/>
  <c r="J112" i="81"/>
  <c r="J111" i="81"/>
  <c r="J110" i="81"/>
  <c r="J109" i="81"/>
  <c r="C108" i="81"/>
  <c r="J107" i="81"/>
  <c r="J106" i="81"/>
  <c r="J105" i="81"/>
  <c r="J104" i="81"/>
  <c r="J103" i="81"/>
  <c r="J102" i="81"/>
  <c r="J101" i="81"/>
  <c r="J100" i="81"/>
  <c r="J98" i="81"/>
  <c r="J97" i="81"/>
  <c r="J96" i="81"/>
  <c r="J95" i="81"/>
  <c r="C94" i="81"/>
  <c r="J94" i="81" s="1"/>
  <c r="D93" i="81"/>
  <c r="D92" i="81" s="1"/>
  <c r="C93" i="81"/>
  <c r="H92" i="81"/>
  <c r="E92" i="81"/>
  <c r="F91" i="81"/>
  <c r="D91" i="81"/>
  <c r="J90" i="81"/>
  <c r="J89" i="81"/>
  <c r="J88" i="81"/>
  <c r="D87" i="81"/>
  <c r="J87" i="81" s="1"/>
  <c r="D86" i="81"/>
  <c r="J86" i="81" s="1"/>
  <c r="J85" i="81"/>
  <c r="J84" i="81"/>
  <c r="J83" i="81"/>
  <c r="J82" i="81"/>
  <c r="H81" i="81"/>
  <c r="H67" i="81" s="1"/>
  <c r="F81" i="81"/>
  <c r="C80" i="81"/>
  <c r="J80" i="81" s="1"/>
  <c r="D79" i="81"/>
  <c r="J79" i="81" s="1"/>
  <c r="F78" i="81"/>
  <c r="J78" i="81" s="1"/>
  <c r="J77" i="81"/>
  <c r="D76" i="81"/>
  <c r="J76" i="81" s="1"/>
  <c r="D75" i="81"/>
  <c r="J75" i="81" s="1"/>
  <c r="D74" i="81"/>
  <c r="C74" i="81"/>
  <c r="D73" i="81"/>
  <c r="J73" i="81" s="1"/>
  <c r="C72" i="81"/>
  <c r="J72" i="81" s="1"/>
  <c r="J71" i="81"/>
  <c r="J70" i="81"/>
  <c r="J69" i="81"/>
  <c r="J68" i="81"/>
  <c r="E67" i="81"/>
  <c r="J66" i="81"/>
  <c r="D65" i="81"/>
  <c r="J65" i="81" s="1"/>
  <c r="J64" i="81"/>
  <c r="J63" i="81"/>
  <c r="J62" i="81"/>
  <c r="J61" i="81"/>
  <c r="J60" i="81"/>
  <c r="D59" i="81"/>
  <c r="J59" i="81" s="1"/>
  <c r="D58" i="81"/>
  <c r="J58" i="81" s="1"/>
  <c r="C57" i="81"/>
  <c r="J56" i="81"/>
  <c r="J55" i="81"/>
  <c r="J54" i="81"/>
  <c r="J53" i="81"/>
  <c r="J52" i="81"/>
  <c r="C51" i="81"/>
  <c r="J51" i="81" s="1"/>
  <c r="C50" i="81"/>
  <c r="J50" i="81" s="1"/>
  <c r="C49" i="81"/>
  <c r="J49" i="81" s="1"/>
  <c r="C48" i="81"/>
  <c r="J48" i="81" s="1"/>
  <c r="C47" i="81"/>
  <c r="J47" i="81" s="1"/>
  <c r="J46" i="81"/>
  <c r="C45" i="81"/>
  <c r="J45" i="81" s="1"/>
  <c r="J44" i="81"/>
  <c r="J43" i="81"/>
  <c r="J42" i="81"/>
  <c r="J41" i="81"/>
  <c r="D40" i="81"/>
  <c r="J40" i="81" s="1"/>
  <c r="J39" i="81"/>
  <c r="J38" i="81"/>
  <c r="D37" i="81"/>
  <c r="J37" i="81" s="1"/>
  <c r="J36" i="81"/>
  <c r="D35" i="81"/>
  <c r="J35" i="81" s="1"/>
  <c r="J34" i="81"/>
  <c r="D33" i="81"/>
  <c r="J33" i="81" s="1"/>
  <c r="G32" i="81"/>
  <c r="J31" i="81"/>
  <c r="J30" i="81"/>
  <c r="D29" i="81"/>
  <c r="C29" i="81"/>
  <c r="C28" i="81"/>
  <c r="J28" i="81" s="1"/>
  <c r="C27" i="81"/>
  <c r="J27" i="81" s="1"/>
  <c r="C26" i="81"/>
  <c r="J26" i="81" s="1"/>
  <c r="D25" i="81"/>
  <c r="C25" i="81"/>
  <c r="J24" i="81"/>
  <c r="J23" i="81"/>
  <c r="H22" i="81"/>
  <c r="J21" i="81"/>
  <c r="G20" i="81"/>
  <c r="C20" i="81"/>
  <c r="F19" i="81"/>
  <c r="D19" i="81"/>
  <c r="C19" i="81"/>
  <c r="I15" i="81"/>
  <c r="H15" i="81"/>
  <c r="G15" i="81"/>
  <c r="E15" i="81"/>
  <c r="D15" i="81"/>
  <c r="J14" i="81"/>
  <c r="J13" i="81"/>
  <c r="J12" i="81"/>
  <c r="F12" i="81"/>
  <c r="F15" i="81" s="1"/>
  <c r="J11" i="81"/>
  <c r="J10" i="81"/>
  <c r="J9" i="81"/>
  <c r="C8" i="81"/>
  <c r="J8" i="81" s="1"/>
  <c r="H167" i="78"/>
  <c r="H81" i="78"/>
  <c r="C128" i="78"/>
  <c r="C126" i="78"/>
  <c r="C47" i="78"/>
  <c r="D135" i="78"/>
  <c r="D153" i="78"/>
  <c r="D147" i="78"/>
  <c r="D19" i="78"/>
  <c r="C27" i="78"/>
  <c r="J25" i="81" l="1"/>
  <c r="C99" i="81"/>
  <c r="E155" i="81"/>
  <c r="E174" i="81" s="1"/>
  <c r="D155" i="87"/>
  <c r="J174" i="89"/>
  <c r="J67" i="87"/>
  <c r="C7" i="87"/>
  <c r="C15" i="87" s="1"/>
  <c r="D174" i="87"/>
  <c r="J173" i="87"/>
  <c r="J155" i="87"/>
  <c r="C155" i="87"/>
  <c r="C174" i="87" s="1"/>
  <c r="J173" i="85"/>
  <c r="J124" i="85"/>
  <c r="J155" i="85" s="1"/>
  <c r="D155" i="85"/>
  <c r="D174" i="85" s="1"/>
  <c r="C155" i="85"/>
  <c r="C174" i="85" s="1"/>
  <c r="J7" i="85"/>
  <c r="J15" i="85" s="1"/>
  <c r="C15" i="85"/>
  <c r="C155" i="83"/>
  <c r="C174" i="83" s="1"/>
  <c r="J155" i="83"/>
  <c r="D155" i="83"/>
  <c r="D174" i="83" s="1"/>
  <c r="J173" i="83"/>
  <c r="J7" i="83"/>
  <c r="J15" i="83" s="1"/>
  <c r="C15" i="83"/>
  <c r="J74" i="81"/>
  <c r="J93" i="81"/>
  <c r="J92" i="81" s="1"/>
  <c r="J20" i="81"/>
  <c r="H155" i="81"/>
  <c r="J91" i="81"/>
  <c r="J135" i="81"/>
  <c r="J142" i="81"/>
  <c r="J124" i="81" s="1"/>
  <c r="G92" i="81"/>
  <c r="G155" i="81" s="1"/>
  <c r="G174" i="81" s="1"/>
  <c r="H173" i="81"/>
  <c r="J168" i="81"/>
  <c r="J173" i="81" s="1"/>
  <c r="D22" i="81"/>
  <c r="J29" i="81"/>
  <c r="C67" i="81"/>
  <c r="J81" i="81"/>
  <c r="J67" i="81" s="1"/>
  <c r="D124" i="81"/>
  <c r="D57" i="81"/>
  <c r="J57" i="81"/>
  <c r="J148" i="81"/>
  <c r="J22" i="81"/>
  <c r="J32" i="81"/>
  <c r="D32" i="81"/>
  <c r="C22" i="81"/>
  <c r="C7" i="81" s="1"/>
  <c r="C32" i="81"/>
  <c r="D67" i="81"/>
  <c r="C92" i="81"/>
  <c r="J108" i="81"/>
  <c r="J99" i="81" s="1"/>
  <c r="C124" i="81"/>
  <c r="J19" i="81"/>
  <c r="F67" i="81"/>
  <c r="F155" i="81" s="1"/>
  <c r="F174" i="81" s="1"/>
  <c r="D86" i="78"/>
  <c r="J7" i="87" l="1"/>
  <c r="J15" i="87" s="1"/>
  <c r="J174" i="87"/>
  <c r="J174" i="85"/>
  <c r="J174" i="83"/>
  <c r="H174" i="81"/>
  <c r="D155" i="81"/>
  <c r="D174" i="81" s="1"/>
  <c r="J7" i="81"/>
  <c r="J15" i="81" s="1"/>
  <c r="C15" i="81"/>
  <c r="C155" i="81"/>
  <c r="C174" i="81" s="1"/>
  <c r="J155" i="81"/>
  <c r="J174" i="81" s="1"/>
  <c r="C110" i="78"/>
  <c r="J110" i="78" s="1"/>
  <c r="C10" i="78"/>
  <c r="J10" i="78" s="1"/>
  <c r="D93" i="78"/>
  <c r="D142" i="78"/>
  <c r="D144" i="78"/>
  <c r="D116" i="78"/>
  <c r="D79" i="78"/>
  <c r="J79" i="78" s="1"/>
  <c r="J128" i="78"/>
  <c r="J126" i="78"/>
  <c r="D74" i="78"/>
  <c r="D58" i="78"/>
  <c r="D59" i="78"/>
  <c r="J59" i="78" s="1"/>
  <c r="D60" i="78"/>
  <c r="J60" i="78" s="1"/>
  <c r="D75" i="78"/>
  <c r="J75" i="78" s="1"/>
  <c r="D53" i="78"/>
  <c r="J53" i="78" s="1"/>
  <c r="D40" i="78"/>
  <c r="D37" i="78"/>
  <c r="J37" i="78" s="1"/>
  <c r="D35" i="78"/>
  <c r="C94" i="78"/>
  <c r="J94" i="78" s="1"/>
  <c r="C93" i="78"/>
  <c r="J93" i="78" s="1"/>
  <c r="C45" i="78"/>
  <c r="J45" i="78" s="1"/>
  <c r="C80" i="78"/>
  <c r="J80" i="78" s="1"/>
  <c r="C138" i="78"/>
  <c r="J138" i="78" s="1"/>
  <c r="C144" i="78"/>
  <c r="F81" i="78"/>
  <c r="J81" i="78" s="1"/>
  <c r="F19" i="78"/>
  <c r="F91" i="78"/>
  <c r="F78" i="78"/>
  <c r="F12" i="78"/>
  <c r="F15" i="78" s="1"/>
  <c r="I171" i="78"/>
  <c r="H171" i="78"/>
  <c r="G171" i="78"/>
  <c r="E171" i="78"/>
  <c r="D171" i="78"/>
  <c r="C171" i="78"/>
  <c r="J170" i="78"/>
  <c r="J169" i="78"/>
  <c r="J168" i="78"/>
  <c r="J167" i="78"/>
  <c r="J166" i="78"/>
  <c r="J165" i="78"/>
  <c r="J164" i="78"/>
  <c r="J163" i="78"/>
  <c r="J162" i="78"/>
  <c r="J161" i="78"/>
  <c r="J160" i="78"/>
  <c r="J159" i="78"/>
  <c r="J158" i="78"/>
  <c r="F157" i="78"/>
  <c r="J157" i="78" s="1"/>
  <c r="J156" i="78"/>
  <c r="I155" i="78"/>
  <c r="J154" i="78"/>
  <c r="J153" i="78"/>
  <c r="J152" i="78"/>
  <c r="D151" i="78"/>
  <c r="D148" i="78" s="1"/>
  <c r="J150" i="78"/>
  <c r="J149" i="78"/>
  <c r="G148" i="78"/>
  <c r="C148" i="78"/>
  <c r="J147" i="78"/>
  <c r="J146" i="78"/>
  <c r="J145" i="78"/>
  <c r="J143" i="78"/>
  <c r="C142" i="78"/>
  <c r="J141" i="78"/>
  <c r="C140" i="78"/>
  <c r="J140" i="78" s="1"/>
  <c r="J139" i="78"/>
  <c r="C137" i="78"/>
  <c r="J137" i="78" s="1"/>
  <c r="C136" i="78"/>
  <c r="J136" i="78" s="1"/>
  <c r="C135" i="78"/>
  <c r="J135" i="78" s="1"/>
  <c r="J134" i="78"/>
  <c r="J133" i="78"/>
  <c r="J132" i="78"/>
  <c r="J131" i="78"/>
  <c r="D130" i="78"/>
  <c r="J130" i="78" s="1"/>
  <c r="J129" i="78"/>
  <c r="J127" i="78"/>
  <c r="C125" i="78"/>
  <c r="J125" i="78" s="1"/>
  <c r="G124" i="78"/>
  <c r="F124" i="78"/>
  <c r="E124" i="78"/>
  <c r="C123" i="78"/>
  <c r="J123" i="78" s="1"/>
  <c r="J122" i="78"/>
  <c r="C121" i="78"/>
  <c r="J121" i="78" s="1"/>
  <c r="J120" i="78"/>
  <c r="C119" i="78"/>
  <c r="J119" i="78" s="1"/>
  <c r="J118" i="78"/>
  <c r="J117" i="78"/>
  <c r="C116" i="78"/>
  <c r="C115" i="78"/>
  <c r="J115" i="78" s="1"/>
  <c r="J114" i="78"/>
  <c r="J113" i="78"/>
  <c r="J112" i="78"/>
  <c r="J111" i="78"/>
  <c r="C109" i="78"/>
  <c r="J109" i="78" s="1"/>
  <c r="C108" i="78"/>
  <c r="J108" i="78" s="1"/>
  <c r="J107" i="78"/>
  <c r="J106" i="78"/>
  <c r="J105" i="78"/>
  <c r="J104" i="78"/>
  <c r="J103" i="78"/>
  <c r="C102" i="78"/>
  <c r="J102" i="78" s="1"/>
  <c r="J101" i="78"/>
  <c r="J100" i="78"/>
  <c r="H99" i="78"/>
  <c r="E99" i="78"/>
  <c r="J98" i="78"/>
  <c r="J97" i="78"/>
  <c r="G96" i="78"/>
  <c r="C96" i="78"/>
  <c r="J95" i="78"/>
  <c r="H92" i="78"/>
  <c r="G92" i="78"/>
  <c r="E92" i="78"/>
  <c r="D92" i="78"/>
  <c r="D91" i="78"/>
  <c r="J90" i="78"/>
  <c r="J89" i="78"/>
  <c r="J88" i="78"/>
  <c r="D87" i="78"/>
  <c r="J87" i="78" s="1"/>
  <c r="J86" i="78"/>
  <c r="J85" i="78"/>
  <c r="J84" i="78"/>
  <c r="J83" i="78"/>
  <c r="J82" i="78"/>
  <c r="J78" i="78"/>
  <c r="J77" i="78"/>
  <c r="D76" i="78"/>
  <c r="J76" i="78" s="1"/>
  <c r="C74" i="78"/>
  <c r="J73" i="78"/>
  <c r="D73" i="78"/>
  <c r="J72" i="78"/>
  <c r="C72" i="78"/>
  <c r="J71" i="78"/>
  <c r="J70" i="78"/>
  <c r="J69" i="78"/>
  <c r="J68" i="78"/>
  <c r="H67" i="78"/>
  <c r="E67" i="78"/>
  <c r="J66" i="78"/>
  <c r="D65" i="78"/>
  <c r="J64" i="78"/>
  <c r="J63" i="78"/>
  <c r="J62" i="78"/>
  <c r="J61" i="78"/>
  <c r="J58" i="78"/>
  <c r="C57" i="78"/>
  <c r="J56" i="78"/>
  <c r="J55" i="78"/>
  <c r="J54" i="78"/>
  <c r="J52" i="78"/>
  <c r="J51" i="78"/>
  <c r="C51" i="78"/>
  <c r="J50" i="78"/>
  <c r="C50" i="78"/>
  <c r="J49" i="78"/>
  <c r="C49" i="78"/>
  <c r="J48" i="78"/>
  <c r="C48" i="78"/>
  <c r="J47" i="78"/>
  <c r="J46" i="78"/>
  <c r="J44" i="78"/>
  <c r="J43" i="78"/>
  <c r="J42" i="78"/>
  <c r="J41" i="78"/>
  <c r="J40" i="78"/>
  <c r="J39" i="78"/>
  <c r="J38" i="78"/>
  <c r="J36" i="78"/>
  <c r="J35" i="78"/>
  <c r="J34" i="78"/>
  <c r="D33" i="78"/>
  <c r="J33" i="78" s="1"/>
  <c r="G32" i="78"/>
  <c r="C32" i="78"/>
  <c r="J31" i="78"/>
  <c r="J30" i="78"/>
  <c r="J29" i="78" s="1"/>
  <c r="D29" i="78"/>
  <c r="C29" i="78"/>
  <c r="C28" i="78"/>
  <c r="J28" i="78" s="1"/>
  <c r="J27" i="78"/>
  <c r="C26" i="78"/>
  <c r="J26" i="78" s="1"/>
  <c r="D25" i="78"/>
  <c r="D22" i="78" s="1"/>
  <c r="C25" i="78"/>
  <c r="C22" i="78" s="1"/>
  <c r="J24" i="78"/>
  <c r="J23" i="78"/>
  <c r="H22" i="78"/>
  <c r="J21" i="78"/>
  <c r="G20" i="78"/>
  <c r="C20" i="78"/>
  <c r="C19" i="78"/>
  <c r="I15" i="78"/>
  <c r="H15" i="78"/>
  <c r="G15" i="78"/>
  <c r="E15" i="78"/>
  <c r="D15" i="78"/>
  <c r="J14" i="78"/>
  <c r="J13" i="78"/>
  <c r="J11" i="78"/>
  <c r="J9" i="78"/>
  <c r="C8" i="78"/>
  <c r="J8" i="78" s="1"/>
  <c r="D147" i="75"/>
  <c r="D25" i="75"/>
  <c r="D19" i="75"/>
  <c r="F12" i="75"/>
  <c r="F19" i="75"/>
  <c r="E67" i="75"/>
  <c r="F67" i="75"/>
  <c r="F155" i="75" s="1"/>
  <c r="F124" i="75"/>
  <c r="C27" i="75"/>
  <c r="C28" i="75"/>
  <c r="C142" i="75"/>
  <c r="C140" i="75"/>
  <c r="C74" i="75"/>
  <c r="C116" i="75"/>
  <c r="C109" i="75"/>
  <c r="C108" i="75"/>
  <c r="C96" i="75"/>
  <c r="C102" i="75"/>
  <c r="J74" i="78" l="1"/>
  <c r="J116" i="78"/>
  <c r="C7" i="78"/>
  <c r="C15" i="78" s="1"/>
  <c r="H155" i="78"/>
  <c r="H172" i="78" s="1"/>
  <c r="J20" i="78"/>
  <c r="E155" i="78"/>
  <c r="E172" i="78" s="1"/>
  <c r="I172" i="78"/>
  <c r="J25" i="78"/>
  <c r="J22" i="78" s="1"/>
  <c r="F171" i="78"/>
  <c r="G155" i="78"/>
  <c r="G172" i="78" s="1"/>
  <c r="J91" i="78"/>
  <c r="J171" i="78"/>
  <c r="D124" i="78"/>
  <c r="J142" i="78"/>
  <c r="J144" i="78"/>
  <c r="D99" i="78"/>
  <c r="D57" i="78"/>
  <c r="D67" i="78"/>
  <c r="C92" i="78"/>
  <c r="J32" i="78"/>
  <c r="C67" i="78"/>
  <c r="J19" i="78"/>
  <c r="F67" i="78"/>
  <c r="F155" i="78" s="1"/>
  <c r="J67" i="78"/>
  <c r="J7" i="78"/>
  <c r="J99" i="78"/>
  <c r="J96" i="78"/>
  <c r="J92" i="78" s="1"/>
  <c r="J12" i="78"/>
  <c r="D32" i="78"/>
  <c r="J65" i="78"/>
  <c r="J57" i="78" s="1"/>
  <c r="C99" i="78"/>
  <c r="J151" i="78"/>
  <c r="J148" i="78" s="1"/>
  <c r="C124" i="78"/>
  <c r="I171" i="75"/>
  <c r="H171" i="75"/>
  <c r="G171" i="75"/>
  <c r="E171" i="75"/>
  <c r="D171" i="75"/>
  <c r="C171" i="75"/>
  <c r="J170" i="75"/>
  <c r="J169" i="75"/>
  <c r="J168" i="75"/>
  <c r="J167" i="75"/>
  <c r="J166" i="75"/>
  <c r="J165" i="75"/>
  <c r="J164" i="75"/>
  <c r="J163" i="75"/>
  <c r="J162" i="75"/>
  <c r="J161" i="75"/>
  <c r="J160" i="75"/>
  <c r="J159" i="75"/>
  <c r="J158" i="75"/>
  <c r="J157" i="75"/>
  <c r="F157" i="75"/>
  <c r="F171" i="75" s="1"/>
  <c r="F172" i="75" s="1"/>
  <c r="J156" i="75"/>
  <c r="I155" i="75"/>
  <c r="J154" i="75"/>
  <c r="J153" i="75"/>
  <c r="D153" i="75"/>
  <c r="J152" i="75"/>
  <c r="D151" i="75"/>
  <c r="D148" i="75" s="1"/>
  <c r="J150" i="75"/>
  <c r="J149" i="75"/>
  <c r="G148" i="75"/>
  <c r="C148" i="75"/>
  <c r="J147" i="75"/>
  <c r="J146" i="75"/>
  <c r="J145" i="75"/>
  <c r="J144" i="75"/>
  <c r="J143" i="75"/>
  <c r="J142" i="75"/>
  <c r="J141" i="75"/>
  <c r="J140" i="75"/>
  <c r="J139" i="75"/>
  <c r="J138" i="75"/>
  <c r="C137" i="75"/>
  <c r="J137" i="75" s="1"/>
  <c r="C136" i="75"/>
  <c r="J136" i="75" s="1"/>
  <c r="C135" i="75"/>
  <c r="J135" i="75" s="1"/>
  <c r="J134" i="75"/>
  <c r="J133" i="75"/>
  <c r="J132" i="75"/>
  <c r="J131" i="75"/>
  <c r="D130" i="75"/>
  <c r="J130" i="75" s="1"/>
  <c r="J129" i="75"/>
  <c r="C128" i="75"/>
  <c r="J128" i="75" s="1"/>
  <c r="J127" i="75"/>
  <c r="C126" i="75"/>
  <c r="J126" i="75" s="1"/>
  <c r="C125" i="75"/>
  <c r="J125" i="75" s="1"/>
  <c r="G124" i="75"/>
  <c r="E124" i="75"/>
  <c r="C123" i="75"/>
  <c r="J123" i="75" s="1"/>
  <c r="J122" i="75"/>
  <c r="C121" i="75"/>
  <c r="J121" i="75" s="1"/>
  <c r="J120" i="75"/>
  <c r="C119" i="75"/>
  <c r="J119" i="75" s="1"/>
  <c r="J118" i="75"/>
  <c r="J117" i="75"/>
  <c r="D116" i="75"/>
  <c r="J116" i="75" s="1"/>
  <c r="C115" i="75"/>
  <c r="J115" i="75" s="1"/>
  <c r="J114" i="75"/>
  <c r="J113" i="75"/>
  <c r="J112" i="75"/>
  <c r="J111" i="75"/>
  <c r="J110" i="75"/>
  <c r="J109" i="75"/>
  <c r="J108" i="75"/>
  <c r="J107" i="75"/>
  <c r="J106" i="75"/>
  <c r="J105" i="75"/>
  <c r="J104" i="75"/>
  <c r="J103" i="75"/>
  <c r="J102" i="75"/>
  <c r="J101" i="75"/>
  <c r="J100" i="75"/>
  <c r="H99" i="75"/>
  <c r="E99" i="75"/>
  <c r="D99" i="75"/>
  <c r="J98" i="75"/>
  <c r="J97" i="75"/>
  <c r="G96" i="75"/>
  <c r="J96" i="75" s="1"/>
  <c r="J95" i="75"/>
  <c r="J94" i="75"/>
  <c r="J93" i="75"/>
  <c r="H92" i="75"/>
  <c r="E92" i="75"/>
  <c r="D92" i="75"/>
  <c r="C92" i="75"/>
  <c r="D91" i="75"/>
  <c r="J91" i="75" s="1"/>
  <c r="J90" i="75"/>
  <c r="J89" i="75"/>
  <c r="J88" i="75"/>
  <c r="D87" i="75"/>
  <c r="J87" i="75" s="1"/>
  <c r="J86" i="75"/>
  <c r="J85" i="75"/>
  <c r="J84" i="75"/>
  <c r="J83" i="75"/>
  <c r="J82" i="75"/>
  <c r="J81" i="75"/>
  <c r="J80" i="75"/>
  <c r="J79" i="75"/>
  <c r="J78" i="75"/>
  <c r="J77" i="75"/>
  <c r="D76" i="75"/>
  <c r="J76" i="75" s="1"/>
  <c r="J75" i="75"/>
  <c r="J74" i="75"/>
  <c r="D73" i="75"/>
  <c r="J73" i="75" s="1"/>
  <c r="C72" i="75"/>
  <c r="C67" i="75" s="1"/>
  <c r="J71" i="75"/>
  <c r="J70" i="75"/>
  <c r="J69" i="75"/>
  <c r="J68" i="75"/>
  <c r="H67" i="75"/>
  <c r="J66" i="75"/>
  <c r="D65" i="75"/>
  <c r="D57" i="75" s="1"/>
  <c r="J64" i="75"/>
  <c r="J63" i="75"/>
  <c r="J62" i="75"/>
  <c r="J61" i="75"/>
  <c r="J60" i="75"/>
  <c r="J59" i="75"/>
  <c r="J58" i="75"/>
  <c r="C57" i="75"/>
  <c r="J56" i="75"/>
  <c r="J55" i="75"/>
  <c r="J54" i="75"/>
  <c r="J53" i="75"/>
  <c r="J52" i="75"/>
  <c r="J51" i="75"/>
  <c r="C51" i="75"/>
  <c r="C50" i="75"/>
  <c r="J50" i="75" s="1"/>
  <c r="C49" i="75"/>
  <c r="J49" i="75" s="1"/>
  <c r="C48" i="75"/>
  <c r="J48" i="75" s="1"/>
  <c r="J47" i="75"/>
  <c r="J46" i="75"/>
  <c r="J45" i="75"/>
  <c r="J44" i="75"/>
  <c r="J43" i="75"/>
  <c r="J42" i="75"/>
  <c r="J41" i="75"/>
  <c r="J40" i="75"/>
  <c r="J39" i="75"/>
  <c r="J38" i="75"/>
  <c r="J37" i="75"/>
  <c r="J36" i="75"/>
  <c r="D35" i="75"/>
  <c r="J35" i="75" s="1"/>
  <c r="J34" i="75"/>
  <c r="J33" i="75"/>
  <c r="D33" i="75"/>
  <c r="G32" i="75"/>
  <c r="J31" i="75"/>
  <c r="J30" i="75"/>
  <c r="D29" i="75"/>
  <c r="C29" i="75"/>
  <c r="J28" i="75"/>
  <c r="J27" i="75"/>
  <c r="C26" i="75"/>
  <c r="J26" i="75" s="1"/>
  <c r="C25" i="75"/>
  <c r="J25" i="75" s="1"/>
  <c r="J24" i="75"/>
  <c r="J23" i="75"/>
  <c r="H22" i="75"/>
  <c r="D22" i="75"/>
  <c r="J21" i="75"/>
  <c r="G20" i="75"/>
  <c r="C20" i="75"/>
  <c r="C19" i="75"/>
  <c r="J19" i="75" s="1"/>
  <c r="I15" i="75"/>
  <c r="H15" i="75"/>
  <c r="G15" i="75"/>
  <c r="F15" i="75"/>
  <c r="E15" i="75"/>
  <c r="D15" i="75"/>
  <c r="J14" i="75"/>
  <c r="J13" i="75"/>
  <c r="J12" i="75"/>
  <c r="J11" i="75"/>
  <c r="J10" i="75"/>
  <c r="J9" i="75"/>
  <c r="C8" i="75"/>
  <c r="J8" i="75" s="1"/>
  <c r="G96" i="73"/>
  <c r="D130" i="73"/>
  <c r="C116" i="73"/>
  <c r="C119" i="73"/>
  <c r="D116" i="73"/>
  <c r="F157" i="73"/>
  <c r="F171" i="73" s="1"/>
  <c r="F172" i="73" s="1"/>
  <c r="E171" i="73"/>
  <c r="F15" i="73"/>
  <c r="E92" i="73"/>
  <c r="J151" i="75" l="1"/>
  <c r="I172" i="75"/>
  <c r="F172" i="78"/>
  <c r="J124" i="78"/>
  <c r="J155" i="78" s="1"/>
  <c r="J172" i="78" s="1"/>
  <c r="D155" i="78"/>
  <c r="D172" i="78" s="1"/>
  <c r="C155" i="78"/>
  <c r="C172" i="78" s="1"/>
  <c r="J15" i="78"/>
  <c r="D32" i="75"/>
  <c r="C22" i="75"/>
  <c r="C7" i="75" s="1"/>
  <c r="J7" i="75" s="1"/>
  <c r="J15" i="75" s="1"/>
  <c r="D124" i="75"/>
  <c r="J29" i="75"/>
  <c r="J65" i="75"/>
  <c r="J57" i="75" s="1"/>
  <c r="J72" i="75"/>
  <c r="J67" i="75" s="1"/>
  <c r="J92" i="75"/>
  <c r="J148" i="75"/>
  <c r="E155" i="75"/>
  <c r="E172" i="75" s="1"/>
  <c r="C99" i="75"/>
  <c r="H155" i="75"/>
  <c r="H172" i="75" s="1"/>
  <c r="C124" i="75"/>
  <c r="J32" i="75"/>
  <c r="J20" i="75"/>
  <c r="J171" i="75"/>
  <c r="J22" i="75"/>
  <c r="J124" i="75"/>
  <c r="J99" i="75"/>
  <c r="C32" i="75"/>
  <c r="C155" i="75" s="1"/>
  <c r="C172" i="75" s="1"/>
  <c r="D67" i="75"/>
  <c r="G92" i="75"/>
  <c r="D35" i="73"/>
  <c r="I171" i="73"/>
  <c r="H171" i="73"/>
  <c r="D171" i="73"/>
  <c r="C171" i="73"/>
  <c r="G171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I155" i="73"/>
  <c r="J154" i="73"/>
  <c r="D153" i="73"/>
  <c r="J153" i="73" s="1"/>
  <c r="J152" i="73"/>
  <c r="D151" i="73"/>
  <c r="J151" i="73" s="1"/>
  <c r="J150" i="73"/>
  <c r="J149" i="73"/>
  <c r="G148" i="73"/>
  <c r="D148" i="73"/>
  <c r="C148" i="73"/>
  <c r="J147" i="73"/>
  <c r="J146" i="73"/>
  <c r="J145" i="73"/>
  <c r="J144" i="73"/>
  <c r="J143" i="73"/>
  <c r="J142" i="73"/>
  <c r="J141" i="73"/>
  <c r="J140" i="73"/>
  <c r="C140" i="73"/>
  <c r="J139" i="73"/>
  <c r="J138" i="73"/>
  <c r="C137" i="73"/>
  <c r="J137" i="73" s="1"/>
  <c r="C136" i="73"/>
  <c r="J136" i="73" s="1"/>
  <c r="C135" i="73"/>
  <c r="J135" i="73" s="1"/>
  <c r="J134" i="73"/>
  <c r="J133" i="73"/>
  <c r="J132" i="73"/>
  <c r="J131" i="73"/>
  <c r="J130" i="73"/>
  <c r="J129" i="73"/>
  <c r="C128" i="73"/>
  <c r="J128" i="73" s="1"/>
  <c r="J127" i="73"/>
  <c r="C126" i="73"/>
  <c r="J126" i="73" s="1"/>
  <c r="C125" i="73"/>
  <c r="J125" i="73" s="1"/>
  <c r="G124" i="73"/>
  <c r="E124" i="73"/>
  <c r="D124" i="73"/>
  <c r="C123" i="73"/>
  <c r="J123" i="73" s="1"/>
  <c r="J122" i="73"/>
  <c r="C121" i="73"/>
  <c r="J121" i="73" s="1"/>
  <c r="J120" i="73"/>
  <c r="J119" i="73"/>
  <c r="J118" i="73"/>
  <c r="J117" i="73"/>
  <c r="J116" i="73"/>
  <c r="C115" i="73"/>
  <c r="J115" i="73" s="1"/>
  <c r="J114" i="73"/>
  <c r="J113" i="73"/>
  <c r="J112" i="73"/>
  <c r="J111" i="73"/>
  <c r="J110" i="73"/>
  <c r="C109" i="73"/>
  <c r="J109" i="73" s="1"/>
  <c r="C108" i="73"/>
  <c r="J108" i="73" s="1"/>
  <c r="J107" i="73"/>
  <c r="J106" i="73"/>
  <c r="J105" i="73"/>
  <c r="J104" i="73"/>
  <c r="J103" i="73"/>
  <c r="J102" i="73"/>
  <c r="J101" i="73"/>
  <c r="J100" i="73"/>
  <c r="H99" i="73"/>
  <c r="E99" i="73"/>
  <c r="D99" i="73"/>
  <c r="J98" i="73"/>
  <c r="J97" i="73"/>
  <c r="J96" i="73"/>
  <c r="J95" i="73"/>
  <c r="J94" i="73"/>
  <c r="J93" i="73"/>
  <c r="H92" i="73"/>
  <c r="G92" i="73"/>
  <c r="D92" i="73"/>
  <c r="C92" i="73"/>
  <c r="D91" i="73"/>
  <c r="J91" i="73" s="1"/>
  <c r="J90" i="73"/>
  <c r="J89" i="73"/>
  <c r="J88" i="73"/>
  <c r="D87" i="73"/>
  <c r="J87" i="73" s="1"/>
  <c r="J86" i="73"/>
  <c r="J85" i="73"/>
  <c r="J84" i="73"/>
  <c r="J83" i="73"/>
  <c r="J82" i="73"/>
  <c r="J81" i="73"/>
  <c r="J80" i="73"/>
  <c r="J79" i="73"/>
  <c r="J78" i="73"/>
  <c r="J77" i="73"/>
  <c r="D76" i="73"/>
  <c r="J76" i="73" s="1"/>
  <c r="J75" i="73"/>
  <c r="J74" i="73"/>
  <c r="D73" i="73"/>
  <c r="J73" i="73" s="1"/>
  <c r="C72" i="73"/>
  <c r="J72" i="73" s="1"/>
  <c r="J71" i="73"/>
  <c r="J70" i="73"/>
  <c r="J69" i="73"/>
  <c r="J68" i="73"/>
  <c r="H67" i="73"/>
  <c r="J66" i="73"/>
  <c r="D65" i="73"/>
  <c r="D57" i="73" s="1"/>
  <c r="J64" i="73"/>
  <c r="J63" i="73"/>
  <c r="J62" i="73"/>
  <c r="J61" i="73"/>
  <c r="J60" i="73"/>
  <c r="J59" i="73"/>
  <c r="J58" i="73"/>
  <c r="C57" i="73"/>
  <c r="J56" i="73"/>
  <c r="J55" i="73"/>
  <c r="J54" i="73"/>
  <c r="J53" i="73"/>
  <c r="J52" i="73"/>
  <c r="C51" i="73"/>
  <c r="J51" i="73" s="1"/>
  <c r="C50" i="73"/>
  <c r="J50" i="73" s="1"/>
  <c r="C49" i="73"/>
  <c r="J49" i="73" s="1"/>
  <c r="C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D33" i="73"/>
  <c r="J33" i="73" s="1"/>
  <c r="G32" i="73"/>
  <c r="J31" i="73"/>
  <c r="J30" i="73"/>
  <c r="D29" i="73"/>
  <c r="C29" i="73"/>
  <c r="C28" i="73"/>
  <c r="J28" i="73" s="1"/>
  <c r="C27" i="73"/>
  <c r="J27" i="73" s="1"/>
  <c r="C26" i="73"/>
  <c r="J26" i="73" s="1"/>
  <c r="C25" i="73"/>
  <c r="J24" i="73"/>
  <c r="J23" i="73"/>
  <c r="H22" i="73"/>
  <c r="D22" i="73"/>
  <c r="J21" i="73"/>
  <c r="G20" i="73"/>
  <c r="C20" i="73"/>
  <c r="C19" i="73"/>
  <c r="J19" i="73" s="1"/>
  <c r="I15" i="73"/>
  <c r="H15" i="73"/>
  <c r="G15" i="73"/>
  <c r="E15" i="73"/>
  <c r="D15" i="73"/>
  <c r="J14" i="73"/>
  <c r="J13" i="73"/>
  <c r="J12" i="73"/>
  <c r="J11" i="73"/>
  <c r="J10" i="73"/>
  <c r="J9" i="73"/>
  <c r="C8" i="73"/>
  <c r="J8" i="73" s="1"/>
  <c r="C128" i="71"/>
  <c r="D91" i="71"/>
  <c r="J65" i="73" l="1"/>
  <c r="J57" i="73" s="1"/>
  <c r="J20" i="73"/>
  <c r="C15" i="75"/>
  <c r="D155" i="75"/>
  <c r="D172" i="75" s="1"/>
  <c r="C22" i="73"/>
  <c r="C7" i="73" s="1"/>
  <c r="G155" i="75"/>
  <c r="G172" i="75" s="1"/>
  <c r="J155" i="75"/>
  <c r="J172" i="75" s="1"/>
  <c r="J29" i="73"/>
  <c r="C124" i="73"/>
  <c r="C32" i="73"/>
  <c r="G155" i="73"/>
  <c r="G172" i="73" s="1"/>
  <c r="J25" i="73"/>
  <c r="J48" i="73"/>
  <c r="H155" i="73"/>
  <c r="H172" i="73" s="1"/>
  <c r="J67" i="73"/>
  <c r="E155" i="73"/>
  <c r="E172" i="73" s="1"/>
  <c r="I172" i="73"/>
  <c r="D32" i="73"/>
  <c r="C67" i="73"/>
  <c r="J92" i="73"/>
  <c r="J22" i="73"/>
  <c r="J35" i="73"/>
  <c r="J99" i="73"/>
  <c r="J124" i="73"/>
  <c r="J148" i="73"/>
  <c r="C15" i="73"/>
  <c r="J7" i="73"/>
  <c r="J15" i="73" s="1"/>
  <c r="D67" i="73"/>
  <c r="C99" i="73"/>
  <c r="J170" i="73"/>
  <c r="J171" i="73" s="1"/>
  <c r="E155" i="71"/>
  <c r="E172" i="71" s="1"/>
  <c r="E99" i="71"/>
  <c r="E124" i="71"/>
  <c r="E15" i="71"/>
  <c r="C155" i="73" l="1"/>
  <c r="C172" i="73" s="1"/>
  <c r="J32" i="73"/>
  <c r="J155" i="73" s="1"/>
  <c r="J172" i="73" s="1"/>
  <c r="D155" i="73"/>
  <c r="D172" i="73" s="1"/>
  <c r="C135" i="71"/>
  <c r="C137" i="71"/>
  <c r="C72" i="71"/>
  <c r="C116" i="71" l="1"/>
  <c r="I116" i="71" s="1"/>
  <c r="C125" i="71"/>
  <c r="I125" i="71" s="1"/>
  <c r="C136" i="71"/>
  <c r="I136" i="71" s="1"/>
  <c r="C20" i="71"/>
  <c r="C19" i="71"/>
  <c r="I14" i="71"/>
  <c r="F15" i="71"/>
  <c r="I95" i="71"/>
  <c r="F92" i="71"/>
  <c r="F32" i="71"/>
  <c r="F148" i="71"/>
  <c r="F124" i="71"/>
  <c r="F20" i="71"/>
  <c r="F170" i="71"/>
  <c r="I170" i="71" s="1"/>
  <c r="H171" i="71"/>
  <c r="G171" i="71"/>
  <c r="C171" i="71"/>
  <c r="I169" i="71"/>
  <c r="D171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H155" i="71"/>
  <c r="I154" i="71"/>
  <c r="D153" i="71"/>
  <c r="I153" i="71" s="1"/>
  <c r="I152" i="71"/>
  <c r="D151" i="71"/>
  <c r="I151" i="71" s="1"/>
  <c r="I150" i="71"/>
  <c r="I149" i="71"/>
  <c r="C148" i="71"/>
  <c r="I147" i="71"/>
  <c r="I146" i="71"/>
  <c r="I145" i="71"/>
  <c r="I144" i="71"/>
  <c r="I143" i="71"/>
  <c r="I142" i="71"/>
  <c r="I141" i="71"/>
  <c r="C140" i="71"/>
  <c r="I140" i="71" s="1"/>
  <c r="I139" i="71"/>
  <c r="I138" i="71"/>
  <c r="I137" i="71"/>
  <c r="I135" i="71"/>
  <c r="I134" i="71"/>
  <c r="I133" i="71"/>
  <c r="I131" i="71"/>
  <c r="I130" i="71"/>
  <c r="I129" i="71"/>
  <c r="I128" i="71"/>
  <c r="I127" i="71"/>
  <c r="C126" i="71"/>
  <c r="I126" i="71" s="1"/>
  <c r="D124" i="71"/>
  <c r="C123" i="71"/>
  <c r="I123" i="71" s="1"/>
  <c r="I122" i="71"/>
  <c r="C121" i="71"/>
  <c r="I121" i="71" s="1"/>
  <c r="I120" i="71"/>
  <c r="I119" i="71"/>
  <c r="I118" i="71"/>
  <c r="I117" i="71"/>
  <c r="C115" i="71"/>
  <c r="I115" i="71" s="1"/>
  <c r="I114" i="71"/>
  <c r="I113" i="71"/>
  <c r="I112" i="71"/>
  <c r="I111" i="71"/>
  <c r="I110" i="71"/>
  <c r="C109" i="71"/>
  <c r="I109" i="71" s="1"/>
  <c r="C108" i="71"/>
  <c r="I108" i="71" s="1"/>
  <c r="I107" i="71"/>
  <c r="I106" i="71"/>
  <c r="I105" i="71"/>
  <c r="I104" i="71"/>
  <c r="I103" i="71"/>
  <c r="I102" i="71"/>
  <c r="I101" i="71"/>
  <c r="I100" i="71"/>
  <c r="G99" i="71"/>
  <c r="D99" i="71"/>
  <c r="I98" i="71"/>
  <c r="I97" i="71"/>
  <c r="I96" i="71"/>
  <c r="I94" i="71"/>
  <c r="I93" i="71"/>
  <c r="G92" i="71"/>
  <c r="D92" i="71"/>
  <c r="C92" i="71"/>
  <c r="I91" i="71"/>
  <c r="I90" i="71"/>
  <c r="I89" i="71"/>
  <c r="I88" i="71"/>
  <c r="D87" i="71"/>
  <c r="I87" i="71" s="1"/>
  <c r="I86" i="71"/>
  <c r="I85" i="71"/>
  <c r="I84" i="71"/>
  <c r="I83" i="71"/>
  <c r="I82" i="71"/>
  <c r="I81" i="71"/>
  <c r="I80" i="71"/>
  <c r="I79" i="71"/>
  <c r="I78" i="71"/>
  <c r="I77" i="71"/>
  <c r="D76" i="71"/>
  <c r="I76" i="71" s="1"/>
  <c r="I75" i="71"/>
  <c r="I74" i="71"/>
  <c r="D73" i="71"/>
  <c r="I73" i="71" s="1"/>
  <c r="I72" i="71"/>
  <c r="I71" i="71"/>
  <c r="I70" i="71"/>
  <c r="I69" i="71"/>
  <c r="I68" i="71"/>
  <c r="G67" i="71"/>
  <c r="C67" i="71"/>
  <c r="I66" i="71"/>
  <c r="D65" i="71"/>
  <c r="I65" i="71" s="1"/>
  <c r="I64" i="71"/>
  <c r="I63" i="71"/>
  <c r="I62" i="71"/>
  <c r="I61" i="71"/>
  <c r="I60" i="71"/>
  <c r="I59" i="71"/>
  <c r="I58" i="71"/>
  <c r="C57" i="71"/>
  <c r="I56" i="71"/>
  <c r="I55" i="71"/>
  <c r="I54" i="71"/>
  <c r="I53" i="71"/>
  <c r="I52" i="71"/>
  <c r="C51" i="71"/>
  <c r="I51" i="71" s="1"/>
  <c r="C50" i="71"/>
  <c r="I50" i="71" s="1"/>
  <c r="C49" i="71"/>
  <c r="I49" i="71" s="1"/>
  <c r="C48" i="71"/>
  <c r="I48" i="71" s="1"/>
  <c r="I47" i="71"/>
  <c r="I46" i="71"/>
  <c r="I45" i="71"/>
  <c r="I44" i="71"/>
  <c r="I43" i="71"/>
  <c r="I42" i="71"/>
  <c r="I41" i="71"/>
  <c r="I40" i="71"/>
  <c r="I39" i="71"/>
  <c r="I37" i="71"/>
  <c r="I36" i="71"/>
  <c r="I35" i="71"/>
  <c r="I34" i="71"/>
  <c r="D33" i="71"/>
  <c r="I33" i="71" s="1"/>
  <c r="I31" i="71"/>
  <c r="I30" i="71"/>
  <c r="C29" i="71"/>
  <c r="C28" i="71"/>
  <c r="I28" i="71" s="1"/>
  <c r="C27" i="71"/>
  <c r="I27" i="71" s="1"/>
  <c r="C26" i="71"/>
  <c r="I26" i="71" s="1"/>
  <c r="C25" i="71"/>
  <c r="I25" i="71" s="1"/>
  <c r="I24" i="71"/>
  <c r="I23" i="71"/>
  <c r="G22" i="71"/>
  <c r="D22" i="71"/>
  <c r="I21" i="71"/>
  <c r="H15" i="71"/>
  <c r="G15" i="71"/>
  <c r="D15" i="71"/>
  <c r="I13" i="71"/>
  <c r="I12" i="71"/>
  <c r="I11" i="71"/>
  <c r="I10" i="71"/>
  <c r="I9" i="71"/>
  <c r="C8" i="71"/>
  <c r="I8" i="71" s="1"/>
  <c r="G15" i="69"/>
  <c r="F16" i="69"/>
  <c r="G158" i="69"/>
  <c r="G159" i="69"/>
  <c r="G160" i="69"/>
  <c r="G161" i="69"/>
  <c r="G162" i="69"/>
  <c r="G163" i="69"/>
  <c r="G164" i="69"/>
  <c r="G165" i="69"/>
  <c r="G166" i="69"/>
  <c r="G167" i="69"/>
  <c r="G168" i="69"/>
  <c r="G169" i="69"/>
  <c r="G171" i="69"/>
  <c r="G157" i="69"/>
  <c r="F172" i="69"/>
  <c r="F156" i="69"/>
  <c r="D148" i="71" l="1"/>
  <c r="F173" i="69"/>
  <c r="H172" i="71"/>
  <c r="F155" i="71"/>
  <c r="C124" i="71"/>
  <c r="D32" i="71"/>
  <c r="I38" i="71"/>
  <c r="I32" i="71" s="1"/>
  <c r="D67" i="71"/>
  <c r="I132" i="71"/>
  <c r="I124" i="71" s="1"/>
  <c r="C22" i="71"/>
  <c r="C7" i="71" s="1"/>
  <c r="I7" i="71" s="1"/>
  <c r="I15" i="71" s="1"/>
  <c r="I99" i="71"/>
  <c r="G155" i="71"/>
  <c r="G172" i="71" s="1"/>
  <c r="I20" i="71"/>
  <c r="I148" i="71"/>
  <c r="F171" i="71"/>
  <c r="I57" i="71"/>
  <c r="I171" i="71"/>
  <c r="I67" i="71"/>
  <c r="I29" i="71"/>
  <c r="I22" i="71"/>
  <c r="I92" i="71"/>
  <c r="C32" i="71"/>
  <c r="D57" i="71"/>
  <c r="C99" i="71"/>
  <c r="I19" i="71"/>
  <c r="D29" i="71"/>
  <c r="C127" i="69"/>
  <c r="F172" i="71" l="1"/>
  <c r="C15" i="71"/>
  <c r="C155" i="71"/>
  <c r="C172" i="71" s="1"/>
  <c r="D155" i="71"/>
  <c r="I155" i="71"/>
  <c r="I172" i="71" s="1"/>
  <c r="C39" i="69"/>
  <c r="C38" i="69"/>
  <c r="C35" i="69"/>
  <c r="C68" i="69"/>
  <c r="C30" i="69"/>
  <c r="C29" i="69"/>
  <c r="C20" i="69"/>
  <c r="C138" i="69"/>
  <c r="D172" i="71" l="1"/>
  <c r="C136" i="69"/>
  <c r="C137" i="69"/>
  <c r="D43" i="69" l="1"/>
  <c r="D154" i="69"/>
  <c r="D22" i="69"/>
  <c r="G151" i="69"/>
  <c r="G150" i="69"/>
  <c r="G153" i="69"/>
  <c r="E68" i="69" l="1"/>
  <c r="C36" i="69"/>
  <c r="C141" i="69" l="1"/>
  <c r="C139" i="69"/>
  <c r="C95" i="69"/>
  <c r="C93" i="69" s="1"/>
  <c r="C49" i="69"/>
  <c r="C50" i="69"/>
  <c r="C48" i="69"/>
  <c r="C133" i="69"/>
  <c r="C125" i="69" l="1"/>
  <c r="G13" i="69"/>
  <c r="E172" i="69" l="1"/>
  <c r="C172" i="69"/>
  <c r="D170" i="69"/>
  <c r="G170" i="69" s="1"/>
  <c r="G155" i="69"/>
  <c r="G154" i="69"/>
  <c r="D152" i="69"/>
  <c r="C149" i="69"/>
  <c r="G148" i="69"/>
  <c r="G147" i="69"/>
  <c r="G146" i="69"/>
  <c r="G145" i="69"/>
  <c r="G144" i="69"/>
  <c r="G143" i="69"/>
  <c r="G142" i="69"/>
  <c r="G141" i="69"/>
  <c r="G140" i="69"/>
  <c r="G139" i="69"/>
  <c r="G138" i="69"/>
  <c r="D137" i="69"/>
  <c r="D125" i="69" s="1"/>
  <c r="G136" i="69"/>
  <c r="G135" i="69"/>
  <c r="G134" i="69"/>
  <c r="G133" i="69"/>
  <c r="G132" i="69"/>
  <c r="G131" i="69"/>
  <c r="G130" i="69"/>
  <c r="G129" i="69"/>
  <c r="G128" i="69"/>
  <c r="G127" i="69"/>
  <c r="G126" i="69"/>
  <c r="C124" i="69"/>
  <c r="G124" i="69" s="1"/>
  <c r="G123" i="69"/>
  <c r="C122" i="69"/>
  <c r="G122" i="69" s="1"/>
  <c r="G121" i="69"/>
  <c r="G120" i="69"/>
  <c r="G119" i="69"/>
  <c r="G118" i="69"/>
  <c r="G117" i="69"/>
  <c r="C116" i="69"/>
  <c r="G116" i="69" s="1"/>
  <c r="G115" i="69"/>
  <c r="G114" i="69"/>
  <c r="G113" i="69"/>
  <c r="G112" i="69"/>
  <c r="G111" i="69"/>
  <c r="C110" i="69"/>
  <c r="G110" i="69" s="1"/>
  <c r="C109" i="69"/>
  <c r="G109" i="69" s="1"/>
  <c r="G108" i="69"/>
  <c r="G107" i="69"/>
  <c r="G106" i="69"/>
  <c r="C105" i="69"/>
  <c r="G104" i="69"/>
  <c r="G103" i="69"/>
  <c r="G102" i="69"/>
  <c r="G101" i="69"/>
  <c r="E100" i="69"/>
  <c r="G99" i="69"/>
  <c r="G98" i="69"/>
  <c r="G97" i="69"/>
  <c r="G96" i="69"/>
  <c r="G95" i="69"/>
  <c r="G94" i="69"/>
  <c r="E93" i="69"/>
  <c r="D93" i="69"/>
  <c r="D92" i="69"/>
  <c r="G92" i="69" s="1"/>
  <c r="G91" i="69"/>
  <c r="G90" i="69"/>
  <c r="G89" i="69"/>
  <c r="D88" i="69"/>
  <c r="G88" i="69" s="1"/>
  <c r="G87" i="69"/>
  <c r="G86" i="69"/>
  <c r="G85" i="69"/>
  <c r="G84" i="69"/>
  <c r="G83" i="69"/>
  <c r="G82" i="69"/>
  <c r="G81" i="69"/>
  <c r="G80" i="69"/>
  <c r="G79" i="69"/>
  <c r="G78" i="69"/>
  <c r="D77" i="69"/>
  <c r="G77" i="69" s="1"/>
  <c r="G76" i="69"/>
  <c r="D74" i="69"/>
  <c r="G74" i="69" s="1"/>
  <c r="G73" i="69"/>
  <c r="G72" i="69"/>
  <c r="G71" i="69"/>
  <c r="G70" i="69"/>
  <c r="G67" i="69"/>
  <c r="D66" i="69"/>
  <c r="G66" i="69" s="1"/>
  <c r="G65" i="69"/>
  <c r="G64" i="69"/>
  <c r="D63" i="69"/>
  <c r="G63" i="69" s="1"/>
  <c r="G62" i="69"/>
  <c r="G61" i="69"/>
  <c r="G60" i="69"/>
  <c r="G59" i="69"/>
  <c r="C58" i="69"/>
  <c r="G57" i="69"/>
  <c r="G56" i="69"/>
  <c r="G55" i="69"/>
  <c r="G54" i="69"/>
  <c r="G53" i="69"/>
  <c r="C52" i="69"/>
  <c r="G52" i="69" s="1"/>
  <c r="C51" i="69"/>
  <c r="G50" i="69"/>
  <c r="G49" i="69"/>
  <c r="G48" i="69"/>
  <c r="G47" i="69"/>
  <c r="G46" i="69"/>
  <c r="G45" i="69"/>
  <c r="G44" i="69"/>
  <c r="G43" i="69"/>
  <c r="G42" i="69"/>
  <c r="G41" i="69"/>
  <c r="G40" i="69"/>
  <c r="D39" i="69"/>
  <c r="G39" i="69" s="1"/>
  <c r="G38" i="69"/>
  <c r="G37" i="69"/>
  <c r="G36" i="69"/>
  <c r="G35" i="69"/>
  <c r="D34" i="69"/>
  <c r="G34" i="69" s="1"/>
  <c r="G32" i="69"/>
  <c r="D31" i="69"/>
  <c r="D30" i="69" s="1"/>
  <c r="G29" i="69"/>
  <c r="C28" i="69"/>
  <c r="G28" i="69" s="1"/>
  <c r="C27" i="69"/>
  <c r="G27" i="69" s="1"/>
  <c r="C26" i="69"/>
  <c r="G26" i="69" s="1"/>
  <c r="G25" i="69"/>
  <c r="G24" i="69"/>
  <c r="E23" i="69"/>
  <c r="D23" i="69"/>
  <c r="G22" i="69"/>
  <c r="C21" i="69"/>
  <c r="G21" i="69" s="1"/>
  <c r="G20" i="69"/>
  <c r="C14" i="69"/>
  <c r="G14" i="69" s="1"/>
  <c r="G12" i="69"/>
  <c r="C8" i="69"/>
  <c r="G8" i="69" s="1"/>
  <c r="G51" i="69" l="1"/>
  <c r="G33" i="69" s="1"/>
  <c r="C33" i="69"/>
  <c r="G105" i="69"/>
  <c r="C100" i="69"/>
  <c r="G31" i="69"/>
  <c r="G30" i="69" s="1"/>
  <c r="G152" i="69"/>
  <c r="G149" i="69" s="1"/>
  <c r="D149" i="69"/>
  <c r="D16" i="69"/>
  <c r="G75" i="69"/>
  <c r="G10" i="69"/>
  <c r="E156" i="69"/>
  <c r="E173" i="69" s="1"/>
  <c r="D100" i="69"/>
  <c r="G11" i="69"/>
  <c r="D58" i="69"/>
  <c r="C23" i="69"/>
  <c r="C7" i="69" s="1"/>
  <c r="C16" i="69" s="1"/>
  <c r="G58" i="69"/>
  <c r="D68" i="69"/>
  <c r="G137" i="69"/>
  <c r="G125" i="69" s="1"/>
  <c r="G100" i="69"/>
  <c r="G23" i="69"/>
  <c r="G93" i="69"/>
  <c r="E16" i="69"/>
  <c r="D33" i="69"/>
  <c r="G69" i="69"/>
  <c r="G172" i="69"/>
  <c r="G9" i="69"/>
  <c r="D172" i="69"/>
  <c r="C156" i="69" l="1"/>
  <c r="C173" i="69" s="1"/>
  <c r="G7" i="69"/>
  <c r="G16" i="69" s="1"/>
  <c r="G68" i="69"/>
  <c r="G156" i="69" s="1"/>
  <c r="G173" i="69" s="1"/>
  <c r="D156" i="69"/>
  <c r="D173" i="69" s="1"/>
</calcChain>
</file>

<file path=xl/comments1.xml><?xml version="1.0" encoding="utf-8"?>
<comments xmlns="http://schemas.openxmlformats.org/spreadsheetml/2006/main">
  <authors>
    <author>tamas.vladislava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10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11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4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5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6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7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8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9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sharedStrings.xml><?xml version="1.0" encoding="utf-8"?>
<sst xmlns="http://schemas.openxmlformats.org/spreadsheetml/2006/main" count="6175" uniqueCount="235">
  <si>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</si>
  <si>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</si>
  <si>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</si>
  <si>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</si>
  <si>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</si>
  <si>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</si>
  <si>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</si>
  <si>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</si>
  <si>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</si>
  <si>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</si>
  <si>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</si>
  <si>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</si>
  <si>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</si>
  <si>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</si>
  <si>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</si>
  <si>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</si>
  <si>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</si>
  <si>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</si>
  <si>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</si>
  <si>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</si>
  <si>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</si>
  <si>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</si>
  <si>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</si>
  <si>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</si>
  <si>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</si>
  <si>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</si>
  <si>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</si>
  <si>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</si>
  <si>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</si>
  <si>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</si>
  <si>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</si>
  <si>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</si>
  <si>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</si>
  <si>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</si>
  <si>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</si>
  <si>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</si>
  <si>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</si>
  <si>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</si>
  <si>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</si>
  <si>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</si>
  <si>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</si>
  <si>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</si>
  <si>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</si>
  <si>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</si>
  <si>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</si>
  <si>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</si>
  <si>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</si>
  <si>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</si>
  <si>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</si>
  <si>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</si>
  <si>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</si>
  <si>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</si>
  <si>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</si>
  <si>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</si>
  <si>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</si>
  <si>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</si>
  <si>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</si>
  <si>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</si>
  <si>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</si>
  <si>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</si>
  <si>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</si>
  <si>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</si>
  <si>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</si>
  <si>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</si>
  <si>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</si>
  <si>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</si>
  <si>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</si>
  <si>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</si>
  <si>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</si>
  <si>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</si>
  <si>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</si>
  <si>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</si>
  <si>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</si>
  <si>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</si>
  <si>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</si>
  <si>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</si>
  <si>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</si>
  <si>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</si>
  <si>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</si>
  <si>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</si>
  <si>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</si>
  <si>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</si>
  <si>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</si>
  <si>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</si>
  <si>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</si>
  <si>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</si>
  <si>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</si>
  <si>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</si>
  <si>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</si>
  <si>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</si>
  <si>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</si>
  <si>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</si>
  <si>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</si>
  <si>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</si>
  <si>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</si>
  <si>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</si>
  <si>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</si>
  <si>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</si>
  <si>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</si>
  <si>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</si>
  <si>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</si>
  <si>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</si>
  <si>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</si>
  <si>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</si>
  <si>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</si>
  <si>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</si>
  <si>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</si>
  <si>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</si>
  <si>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</si>
  <si>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</si>
  <si>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</si>
  <si>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</si>
  <si>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</si>
  <si>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</si>
  <si>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</si>
  <si>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</si>
  <si>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</si>
  <si>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</si>
  <si>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</si>
  <si>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</si>
  <si>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</si>
  <si>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</si>
  <si>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</si>
  <si>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</si>
  <si>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</si>
  <si>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</si>
  <si>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</si>
  <si>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</si>
  <si>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</si>
  <si>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</si>
  <si>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</si>
  <si>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</si>
  <si>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</si>
  <si>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</si>
  <si>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</si>
  <si>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</si>
  <si>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</si>
  <si>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</si>
  <si>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</si>
  <si>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</si>
  <si>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</si>
  <si>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</si>
  <si>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</si>
  <si>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</si>
  <si>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</si>
  <si>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</si>
  <si>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</si>
  <si>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</si>
  <si>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</si>
  <si>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</si>
  <si>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</si>
  <si>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</si>
  <si>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</si>
  <si>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</si>
  <si>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</si>
  <si>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</si>
  <si>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</si>
  <si>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</si>
  <si>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</si>
  <si>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</si>
  <si>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</si>
  <si>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</si>
  <si>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</si>
  <si>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</si>
  <si>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</si>
  <si>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</si>
  <si>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</si>
  <si>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</si>
  <si>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</si>
  <si>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</si>
  <si>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</si>
  <si>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</si>
  <si>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</si>
  <si>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</si>
  <si>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</si>
  <si>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</si>
  <si>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</si>
  <si>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414 311 Отпремнина приликом одл. у пенз.</t>
  </si>
  <si>
    <t>742 300 Приход оств.од вршења услуга на тржишту</t>
  </si>
  <si>
    <t>733+791 Приход из буџета и од пројекатa</t>
  </si>
  <si>
    <t>07</t>
  </si>
  <si>
    <t>512 111 Возила</t>
  </si>
  <si>
    <t>744 200 Капитални добровољни транфери од физичких и правних лица</t>
  </si>
  <si>
    <t>ПРЕДЛОГ ФИНАНСИЈСКОГ ПЛАНА ЗА 2023. ГОДИНУ</t>
  </si>
  <si>
    <t>НИС</t>
  </si>
  <si>
    <t xml:space="preserve"> НИС</t>
  </si>
  <si>
    <t xml:space="preserve">ГРАД </t>
  </si>
  <si>
    <r>
      <t xml:space="preserve">Образложење: На основу  Одлуке о изменама Одлуке о предрачунима средстава даваоцима здравствених услуга за 2022. годину Републичког фонда за здравствено осигурање од 12.12.2022. године и усвојеног Закона о изменама и допунама Закона о буџетском систему ("Сл. гласник РС", бр. 138/2022) сачињена је пројекција Предлога Финансијског плана за 2023. годину . </t>
    </r>
    <r>
      <rPr>
        <sz val="12"/>
        <rFont val="Calibri"/>
        <family val="2"/>
        <charset val="238"/>
        <scheme val="minor"/>
      </rPr>
      <t>Извор средства 15 је планиран на основу опредељених средства Дому здравља "Нови Сад" Нови Сад путем конкурса "Заједници заједно 2022" компаније НИС у износу од  14.748.000,00 динара за део програма који је посвећен теми репродуктивног здравља и повећању наталитета за набавку гинеколошке опреме, док је извор 17 планиран на основу опредељених средства Дому здравља "Нови Сад" Нови Сад Одлуком Града Новог Сада.</t>
    </r>
  </si>
  <si>
    <t>15,17</t>
  </si>
  <si>
    <t>01,04,07</t>
  </si>
  <si>
    <t>17</t>
  </si>
  <si>
    <t>04,15</t>
  </si>
  <si>
    <t>ПРВА ИЗМЕНА ФИНАНСИЈСКОГ ПЛАНА ЗА 2023. ГОДИНУ</t>
  </si>
  <si>
    <t>13</t>
  </si>
  <si>
    <t>СОПСТВЕНИ ПРИХОД, РФЗО, РЕПИБЛИКА</t>
  </si>
  <si>
    <t>РЕПУБЛИКА</t>
  </si>
  <si>
    <t>03</t>
  </si>
  <si>
    <t>13,15,17</t>
  </si>
  <si>
    <t>04,13</t>
  </si>
  <si>
    <t>03,04</t>
  </si>
  <si>
    <t>03,04,13</t>
  </si>
  <si>
    <t>03,07</t>
  </si>
  <si>
    <t>Образложење: На основу Уговорa о пружању и финансирању здравствене заштите из обавезног здравственог осигурања за 2023. годину и коначног обрачуна са Републичким фондом за здравствено осигурање- Филијала за јужно-бачки округ Нови Сад извршена је прва измена Финансијског плана за 2023. годину у колони извора финансирања РФЗО у приходима и расходима. Такође, измењено је и стварно стање средстава на пренетим неутрошеним средствима, као и корекције средства у складу са стварним потребама у оквиру извора 04 .</t>
  </si>
  <si>
    <t>ДРУГА ИЗМЕНА ФИНАНСИЈСКОГ ПЛАНА ЗА 2023. ГОДИНУ</t>
  </si>
  <si>
    <t>ГРАД, АПВ</t>
  </si>
  <si>
    <t>03,13</t>
  </si>
  <si>
    <t>04,07</t>
  </si>
  <si>
    <t>07,17</t>
  </si>
  <si>
    <t>07,13</t>
  </si>
  <si>
    <t>04,07,13,15</t>
  </si>
  <si>
    <t>04,13,15</t>
  </si>
  <si>
    <t>Образложење: На основу усвојеног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(„Службени лист Града Новог Сада“, број 13/23) извршена је друга измена Финансијског плана за 2023. годину у колони извора финансирања Град 07 у приходима и расходима. На основу Уговора Министарства здравља број 404-02-000131-11/2020-19 за Услуге оверавања медицинских уређаја са функцијом мерења увећава се конто 424 911 Остале специјализоване услуге за 1.870.000,00 динара, извор финансирања 07, као и одговарајући конто прихода. Извршене су корекције средства у складу са стварним потребама у оквиру извора 04 и 13.</t>
  </si>
  <si>
    <t>ТРЕЋА ИЗМЕНА ФИНАНСИЈСКОГ ПЛАНА ЗА 2023. ГОДИНУ</t>
  </si>
  <si>
    <t>03,04,07,13</t>
  </si>
  <si>
    <t>03,04,07</t>
  </si>
  <si>
    <t>04,07,15</t>
  </si>
  <si>
    <t>Образложење: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Трећој измени Финансијског плана Дома здравља "Нови Сад" Нови Сад  за 2022. годину увећава се извор 07 за реализацију програмских задатака у износу од 354.000,00 динара, као и одговарајући конто трошка. На основу закључених уговора о реализацији пројеката из области јавног здравља и хронично незаразних болести одобрених од стране Градске управе за здравство Града Новог Сада, увећани су конто 733+791 Приход од пројекатa за 8.034.908,00 динара, као и конта расхода према плану пројеката за 2023. годину, и то: 411+412 Бруто плате радника у износу од 5.585.512,00 динара, 423 419 Остале услуге штампања у износу од 659.450,00 динара, 426 919 Остали материјал за посебне намене у износу 43.350,00 динара, 426 791 Остали мед.мат. који се  не евидент. у ел.факт. у износу од 444.760,00 динара,423 449 Остале медијске услуге у износу од 125.000,00 динара и  423 911 Остале опште услуге у износу од 1.176.836,00 динара. Извршене су корекције средства у складу са стварним потребама у оквиру извора 01 и 04.</t>
  </si>
  <si>
    <t>ЧЕТВРТА ИЗМЕНА ФИНАНСИЈСКОГ ПЛАНА ЗА 2023. ГОДИНУ</t>
  </si>
  <si>
    <t xml:space="preserve">Образложење: Уговором о преносу средстава за реализацију мере "On-line школа родитељства"за 2023. години закљученог са Градском управом за здравство Града Новог Сада у четвртој измени Финансијског плана Дома здравља "Нови Сад" Нови Сад  за 2023. годину увећава се извор 07 за реализацију програмских задатака у износу од 200.000,00 динара, као и одговарајући конто трошкова. На основу закључених уговора о реализацији пројеката из области пронаталитетне популационе политике, превенције дроге и ХИВ-а одобрених од стране Градске управе за здравство Града Новог Сада, увећани су конто 733+791 Приход од пројекатa за 4.764.085,00 динара, као и конта расхода према плану пројеката за 2023. годину, и то: 411+412 Бруто плате радника у износу од 2.826.485,00 динара, 423 419 Остале услуге штампања у износу од 182.050,00 динара, 423 449 Остале медијске услуге у износу од 25.000,00 динара и  423 911 Остале опште услуге у износу од 1.712.550,00 динара. Извршене су корекције средства у складу са стварним потребама у оквиру извора 01 и 04. На основу одобрења компаније НИС, у извору средстава 15, средства у износу од 40.000,00 динара се прераспоређују са конта 423 449 Остале медијске услуге на конто 512 511 Медицинска опрема за плаћање гинеколошке столице у целости. </t>
  </si>
  <si>
    <t>ПЕТА ИЗМЕНА ФИНАНСИЈСКОГ ПЛАНА ЗА 2023. ГОДИНУ</t>
  </si>
  <si>
    <t>512 212 Уградна опрема</t>
  </si>
  <si>
    <t>515 111 Компјутерки софтвер</t>
  </si>
  <si>
    <t xml:space="preserve">Образложење: У Петој измени Финансијског плана Дома здравља "Нови Сад" Нови Сад у извору 01 повећан је приход по основу наплате штета од осигурања, као и припадајући расходи. Такође, извршене су корекције средства у складу са стварним потребама у оквиру извора 01,04,07 и 13. </t>
  </si>
  <si>
    <t>ШЕСТА ИЗМЕНА ФИНАНСИЈСКОГ ПЛАНА ЗА 2023. ГОДИНУ</t>
  </si>
  <si>
    <t xml:space="preserve">Образложење: На основу Решења о изменама програма спровођења мера којима се стварају услови за бољу доступност и приступачност у коришћењу здрвствене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број 51-59/2023-11 од 27.10.2023. године у Шесетој измени Финансијског плана Дома здравља "Нови Сад" Нови Сад у извору 07 дошло је до прерасподеле опредењених средстава по наменама, с обзиром да су постигнуте уштеде при спровођењу јавних набавки, те је конто 512511 Медицинска опрема увећан за комплетну уштету, док су опредељена средства остала иста. Такође, извршене су корекције средства у складу са стварним потребама у оквиру извора 01 и 04. </t>
  </si>
  <si>
    <t>СЕДМА ИЗМЕНА ФИНАНСИЈСКОГ ПЛАНА ЗА 2023. ГОДИНУ</t>
  </si>
  <si>
    <t xml:space="preserve">Образложење: На основу Анекса број II  Уговора о пружању и финансирању здравствене заштите из обавезног здравственог осигурања за 2023. годину од 24.11.2023. године у седмој измени Финансијског плана за 2023. годину увећан је конто 781 100 Приход од матичног завода за 54.098.000,00 динара,  као и одговарајућа конта расхода и то за намену лекови 4.118.000,00 динара, санитетски и медицински потрошни материјал 18.482.000,00 динара, енергенти 14.085.000,00 динара и материјални и остали трошкови трошкови 17.413.000,00 динара. На основу наплате штете од осигуравајуће куће увећан конто прихода 741 у износу 347.500,00 динара, као и одговарајући конто расхода. Такође, извршене су корекције средства у складу са стварним потребама у оквиру извора 01 и 04. </t>
  </si>
  <si>
    <t>ОСМА ИЗМЕНА ФИНАНСИЈСКОГ ПЛАНА ЗА 2023. ГОДИНУ</t>
  </si>
  <si>
    <t xml:space="preserve">Образложење: На основу Анекса број III  Уговора о пружању и финансирању здравствене заштите из обавезног здравственог осигурања за 2023. годину од 12.12.2023. године у осмој измени Финансијског плана за 2023. годину увећан је конто 781 100 Приход од матичног завода за 6.601.000,00 динара за санитетски и медицински потрошни материјал, износ од 14.877.000,00 за авансни пренос за материјалне и остале трошкове  и Приход од партиципације за 15.601.000,00 динара, као и одговарајућа конта расхода.  Такође, извршене су корекције средства у складу са стварним потребама у оквиру извора 04. </t>
  </si>
  <si>
    <t>ДЕВЕТА ИЗМЕНА ФИНАНСИЈСКОГ ПЛАНА ЗА 2023. ГОДИНУ</t>
  </si>
  <si>
    <t>Образложење: У Деветој измени Финансијског плана Дома здравља "Нови Сад" Нови Сад  за 2023. годину у извору 01 повећан је приход од матичног завода за 3.000.000,00 динара за намену лекови -извршена директна плаћања и приход по основу планиране наплате штета од осигурања за 700.000,00 динара, као и припадајући расходи.</t>
  </si>
  <si>
    <t>ДЕСЕТА ИЗМЕНА ФИНАНСИЈСКОГ ПЛАНА ЗА 2023. ГОДИНУ</t>
  </si>
  <si>
    <t>Образложење: У Десетој измени Финансијског плана Дома здравља "Нови Сад" Нови Сад  за 2023. годину у извору 01 извршена је прерасподела средстава у овиру конта 414 у износу од 1.000.000,00 динара тако што је конто 414311 увећан, а конто 414411 умањен за наведени износ.</t>
  </si>
  <si>
    <t>ЈЕДАНАЕСТА ИЗМЕНА ФИНАНСИЈСКОГ ПЛАНА ЗА 2023. ГОДИНУ</t>
  </si>
  <si>
    <t>Образложење: У Једанаестој измени Финансијског плана Дома здравља "Нови Сад" Нови Сад  за 2023. годину у извору 04 извршена је прерасподела средстава на конто 430 000 Амортизација у износу од 813.000,00 динара са конта 482300  и конта 485 000 након књижења расхода амортизације на терет сопствених прихода, а по основу извршеног и усвојеног пописа.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</si>
</sst>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8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29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/>
    </xf>
    <xf numFmtId="3" fontId="6" fillId="0" borderId="32" xfId="3" applyNumberFormat="1" applyFont="1" applyBorder="1"/>
    <xf numFmtId="3" fontId="7" fillId="4" borderId="33" xfId="3" applyNumberFormat="1" applyFont="1" applyFill="1" applyBorder="1"/>
    <xf numFmtId="3" fontId="6" fillId="2" borderId="1" xfId="3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right"/>
    </xf>
    <xf numFmtId="3" fontId="6" fillId="0" borderId="34" xfId="3" applyNumberFormat="1" applyFont="1" applyBorder="1"/>
    <xf numFmtId="3" fontId="6" fillId="4" borderId="4" xfId="3" applyNumberFormat="1" applyFont="1" applyFill="1" applyBorder="1"/>
    <xf numFmtId="3" fontId="7" fillId="4" borderId="30" xfId="3" applyNumberFormat="1" applyFont="1" applyFill="1" applyBorder="1"/>
    <xf numFmtId="3" fontId="7" fillId="4" borderId="35" xfId="3" applyNumberFormat="1" applyFont="1" applyFill="1" applyBorder="1"/>
    <xf numFmtId="3" fontId="6" fillId="0" borderId="36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49" fontId="4" fillId="3" borderId="37" xfId="3" applyNumberFormat="1" applyFont="1" applyFill="1" applyBorder="1" applyAlignment="1">
      <alignment horizontal="center" vertical="center" wrapText="1"/>
    </xf>
    <xf numFmtId="3" fontId="6" fillId="0" borderId="27" xfId="3" applyNumberFormat="1" applyFont="1" applyFill="1" applyBorder="1"/>
    <xf numFmtId="0" fontId="6" fillId="0" borderId="20" xfId="3" applyFont="1" applyFill="1" applyBorder="1"/>
    <xf numFmtId="0" fontId="0" fillId="0" borderId="0" xfId="0" applyFill="1"/>
    <xf numFmtId="3" fontId="7" fillId="4" borderId="10" xfId="3" applyNumberFormat="1" applyFont="1" applyFill="1" applyBorder="1"/>
    <xf numFmtId="3" fontId="6" fillId="2" borderId="6" xfId="3" applyNumberFormat="1" applyFont="1" applyFill="1" applyBorder="1"/>
    <xf numFmtId="3" fontId="6" fillId="2" borderId="21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7" fillId="4" borderId="38" xfId="3" applyNumberFormat="1" applyFont="1" applyFill="1" applyBorder="1"/>
    <xf numFmtId="3" fontId="7" fillId="4" borderId="39" xfId="3" applyNumberFormat="1" applyFont="1" applyFill="1" applyBorder="1"/>
    <xf numFmtId="3" fontId="7" fillId="4" borderId="40" xfId="3" applyNumberFormat="1" applyFont="1" applyFill="1" applyBorder="1"/>
    <xf numFmtId="3" fontId="7" fillId="4" borderId="17" xfId="3" applyNumberFormat="1" applyFont="1" applyFill="1" applyBorder="1"/>
    <xf numFmtId="0" fontId="6" fillId="0" borderId="12" xfId="3" applyFont="1" applyBorder="1"/>
    <xf numFmtId="3" fontId="17" fillId="0" borderId="1" xfId="3" applyNumberFormat="1" applyFont="1" applyBorder="1"/>
    <xf numFmtId="3" fontId="6" fillId="4" borderId="9" xfId="3" applyNumberFormat="1" applyFont="1" applyFill="1" applyBorder="1"/>
    <xf numFmtId="3" fontId="6" fillId="2" borderId="32" xfId="3" applyNumberFormat="1" applyFont="1" applyFill="1" applyBorder="1" applyAlignment="1">
      <alignment horizontal="right"/>
    </xf>
    <xf numFmtId="0" fontId="0" fillId="0" borderId="1" xfId="0" applyBorder="1"/>
    <xf numFmtId="0" fontId="4" fillId="3" borderId="41" xfId="3" applyFont="1" applyFill="1" applyBorder="1" applyAlignment="1">
      <alignment horizontal="center" vertical="center"/>
    </xf>
    <xf numFmtId="3" fontId="6" fillId="0" borderId="19" xfId="3" applyNumberFormat="1" applyFont="1" applyBorder="1"/>
    <xf numFmtId="0" fontId="9" fillId="0" borderId="0" xfId="3" applyFont="1" applyBorder="1" applyAlignment="1">
      <alignment horizontal="center" wrapText="1"/>
    </xf>
    <xf numFmtId="3" fontId="19" fillId="0" borderId="1" xfId="3" applyNumberFormat="1" applyFont="1" applyBorder="1"/>
    <xf numFmtId="3" fontId="19" fillId="0" borderId="27" xfId="3" applyNumberFormat="1" applyFont="1" applyFill="1" applyBorder="1"/>
    <xf numFmtId="3" fontId="19" fillId="0" borderId="5" xfId="3" applyNumberFormat="1" applyFont="1" applyBorder="1"/>
    <xf numFmtId="3" fontId="19" fillId="0" borderId="21" xfId="3" applyNumberFormat="1" applyFont="1" applyBorder="1"/>
    <xf numFmtId="3" fontId="19" fillId="0" borderId="32" xfId="3" applyNumberFormat="1" applyFont="1" applyBorder="1"/>
    <xf numFmtId="3" fontId="6" fillId="2" borderId="32" xfId="3" applyNumberFormat="1" applyFont="1" applyFill="1" applyBorder="1"/>
    <xf numFmtId="3" fontId="6" fillId="0" borderId="32" xfId="3" applyNumberFormat="1" applyFont="1" applyFill="1" applyBorder="1"/>
    <xf numFmtId="3" fontId="19" fillId="0" borderId="1" xfId="3" applyNumberFormat="1" applyFont="1" applyFill="1" applyBorder="1"/>
    <xf numFmtId="3" fontId="22" fillId="4" borderId="25" xfId="3" applyNumberFormat="1" applyFont="1" applyFill="1" applyBorder="1"/>
    <xf numFmtId="3" fontId="19" fillId="2" borderId="1" xfId="3" applyNumberFormat="1" applyFont="1" applyFill="1" applyBorder="1"/>
    <xf numFmtId="3" fontId="19" fillId="0" borderId="6" xfId="3" applyNumberFormat="1" applyFont="1" applyFill="1" applyBorder="1"/>
    <xf numFmtId="3" fontId="19" fillId="0" borderId="21" xfId="3" applyNumberFormat="1" applyFont="1" applyFill="1" applyBorder="1"/>
    <xf numFmtId="3" fontId="19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0" borderId="27" xfId="3" applyNumberFormat="1" applyFont="1" applyBorder="1"/>
    <xf numFmtId="3" fontId="22" fillId="4" borderId="39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19" fillId="2" borderId="6" xfId="3" applyNumberFormat="1" applyFont="1" applyFill="1" applyBorder="1"/>
    <xf numFmtId="3" fontId="19" fillId="0" borderId="32" xfId="3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wrapText="1"/>
    </xf>
    <xf numFmtId="3" fontId="6" fillId="0" borderId="23" xfId="3" applyNumberFormat="1" applyFont="1" applyFill="1" applyBorder="1" applyAlignment="1">
      <alignment horizontal="left"/>
    </xf>
    <xf numFmtId="3" fontId="6" fillId="0" borderId="6" xfId="3" applyNumberFormat="1" applyFont="1" applyFill="1" applyBorder="1" applyAlignment="1">
      <alignment horizontal="right"/>
    </xf>
    <xf numFmtId="3" fontId="6" fillId="0" borderId="27" xfId="3" applyNumberFormat="1" applyFont="1" applyFill="1" applyBorder="1" applyAlignment="1">
      <alignment horizontal="right"/>
    </xf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2" borderId="5" xfId="3" applyNumberFormat="1" applyFont="1" applyFill="1" applyBorder="1"/>
    <xf numFmtId="3" fontId="19" fillId="0" borderId="6" xfId="3" applyNumberFormat="1" applyFont="1" applyBorder="1"/>
    <xf numFmtId="0" fontId="9" fillId="0" borderId="0" xfId="3" applyFont="1" applyBorder="1" applyAlignment="1">
      <alignment horizontal="center" wrapText="1"/>
    </xf>
    <xf numFmtId="3" fontId="22" fillId="4" borderId="16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22" fillId="4" borderId="10" xfId="3" applyNumberFormat="1" applyFont="1" applyFill="1" applyBorder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zoomScale="120" zoomScaleNormal="120" workbookViewId="0">
      <selection activeCell="C7" sqref="C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7.140625" customWidth="1"/>
    <col min="7" max="7" width="12.42578125" customWidth="1"/>
    <col min="11" max="11" width="14.7109375" customWidth="1"/>
  </cols>
  <sheetData>
    <row r="1" spans="2:11" ht="9.75" customHeight="1" x14ac:dyDescent="0.25"/>
    <row r="2" spans="2:11" x14ac:dyDescent="0.25">
      <c r="B2" s="138" t="s">
        <v>0</v>
      </c>
      <c r="C2" s="138"/>
      <c r="D2" s="138"/>
      <c r="E2" s="138"/>
      <c r="F2" s="138"/>
      <c r="G2" s="138"/>
    </row>
    <row r="3" spans="2:11" x14ac:dyDescent="0.25">
      <c r="B3" s="139" t="s">
        <v>183</v>
      </c>
      <c r="C3" s="139"/>
      <c r="D3" s="139"/>
      <c r="E3" s="139"/>
      <c r="F3" s="139"/>
      <c r="G3" s="139"/>
    </row>
    <row r="4" spans="2:11" ht="16.5" thickBot="1" x14ac:dyDescent="0.3">
      <c r="B4" s="3"/>
      <c r="C4" s="3"/>
      <c r="D4" s="3"/>
      <c r="E4" s="3"/>
      <c r="F4" s="3"/>
      <c r="G4" s="5" t="s">
        <v>1</v>
      </c>
    </row>
    <row r="5" spans="2:11" ht="69" thickBot="1" x14ac:dyDescent="0.3">
      <c r="B5" s="24" t="s">
        <v>2</v>
      </c>
      <c r="C5" s="33" t="s">
        <v>3</v>
      </c>
      <c r="D5" s="33" t="s">
        <v>4</v>
      </c>
      <c r="E5" s="33" t="s">
        <v>184</v>
      </c>
      <c r="F5" s="33" t="s">
        <v>186</v>
      </c>
      <c r="G5" s="25" t="s">
        <v>5</v>
      </c>
    </row>
    <row r="6" spans="2:11" ht="15.75" x14ac:dyDescent="0.25">
      <c r="B6" s="26" t="s">
        <v>6</v>
      </c>
      <c r="C6" s="83" t="s">
        <v>7</v>
      </c>
      <c r="D6" s="27" t="s">
        <v>8</v>
      </c>
      <c r="E6" s="74">
        <v>15</v>
      </c>
      <c r="F6" s="100">
        <v>17</v>
      </c>
      <c r="G6" s="28"/>
    </row>
    <row r="7" spans="2:11" x14ac:dyDescent="0.25">
      <c r="B7" s="6" t="s">
        <v>9</v>
      </c>
      <c r="C7" s="73">
        <f>2186866+335323+25000+C23+C30+50000</f>
        <v>2656339</v>
      </c>
      <c r="D7" s="7"/>
      <c r="E7" s="9"/>
      <c r="F7" s="63"/>
      <c r="G7" s="2">
        <f>SUM(C7:E7)</f>
        <v>2656339</v>
      </c>
    </row>
    <row r="8" spans="2:11" x14ac:dyDescent="0.25">
      <c r="B8" s="8" t="s">
        <v>10</v>
      </c>
      <c r="C8" s="71">
        <f>28311+2392</f>
        <v>30703</v>
      </c>
      <c r="D8" s="9"/>
      <c r="E8" s="63"/>
      <c r="F8" s="63"/>
      <c r="G8" s="2">
        <f t="shared" ref="G8:G14" si="0">SUM(C8:E8)</f>
        <v>30703</v>
      </c>
    </row>
    <row r="9" spans="2:11" x14ac:dyDescent="0.25">
      <c r="B9" s="8" t="s">
        <v>178</v>
      </c>
      <c r="C9" s="9"/>
      <c r="D9" s="9">
        <v>58880</v>
      </c>
      <c r="E9" s="63"/>
      <c r="F9" s="63"/>
      <c r="G9" s="2">
        <f t="shared" si="0"/>
        <v>58880</v>
      </c>
    </row>
    <row r="10" spans="2:11" x14ac:dyDescent="0.25">
      <c r="B10" s="8" t="s">
        <v>166</v>
      </c>
      <c r="C10" s="9">
        <v>2500</v>
      </c>
      <c r="D10" s="9">
        <v>7200</v>
      </c>
      <c r="E10" s="63"/>
      <c r="F10" s="63"/>
      <c r="G10" s="2">
        <f t="shared" si="0"/>
        <v>9700</v>
      </c>
      <c r="K10" s="55"/>
    </row>
    <row r="11" spans="2:11" x14ac:dyDescent="0.25">
      <c r="B11" s="8" t="s">
        <v>167</v>
      </c>
      <c r="C11" s="9"/>
      <c r="D11" s="9"/>
      <c r="E11" s="63"/>
      <c r="F11" s="63"/>
      <c r="G11" s="2">
        <f>SUM(C11:E11)</f>
        <v>0</v>
      </c>
    </row>
    <row r="12" spans="2:11" x14ac:dyDescent="0.25">
      <c r="B12" s="8" t="s">
        <v>179</v>
      </c>
      <c r="C12" s="9"/>
      <c r="D12" s="9"/>
      <c r="E12" s="63"/>
      <c r="F12" s="63"/>
      <c r="G12" s="2">
        <f>SUM(C12:E12)</f>
        <v>0</v>
      </c>
      <c r="J12" s="55"/>
    </row>
    <row r="13" spans="2:11" x14ac:dyDescent="0.25">
      <c r="B13" s="8" t="s">
        <v>182</v>
      </c>
      <c r="C13" s="1"/>
      <c r="D13" s="1"/>
      <c r="E13" s="99"/>
      <c r="F13" s="99"/>
      <c r="G13" s="2">
        <f>SUM(C13:E13)</f>
        <v>0</v>
      </c>
      <c r="J13" s="55"/>
    </row>
    <row r="14" spans="2:11" x14ac:dyDescent="0.25">
      <c r="B14" s="8" t="s">
        <v>11</v>
      </c>
      <c r="C14" s="1">
        <f>2479+27+105</f>
        <v>2611</v>
      </c>
      <c r="D14" s="1">
        <v>5625</v>
      </c>
      <c r="E14" s="9"/>
      <c r="F14" s="9"/>
      <c r="G14" s="2">
        <f t="shared" si="0"/>
        <v>8236</v>
      </c>
    </row>
    <row r="15" spans="2:11" ht="15.75" thickBot="1" x14ac:dyDescent="0.3">
      <c r="B15" s="10" t="s">
        <v>169</v>
      </c>
      <c r="C15" s="1"/>
      <c r="D15" s="1"/>
      <c r="E15" s="63">
        <v>14748</v>
      </c>
      <c r="F15" s="63">
        <v>2797</v>
      </c>
      <c r="G15" s="2">
        <f>SUM(C15:F15)</f>
        <v>17545</v>
      </c>
    </row>
    <row r="16" spans="2:11" ht="16.5" thickBot="1" x14ac:dyDescent="0.3">
      <c r="B16" s="29" t="s">
        <v>12</v>
      </c>
      <c r="C16" s="30">
        <f>SUM(C7:C15)</f>
        <v>2692153</v>
      </c>
      <c r="D16" s="30">
        <f>SUM(D7:D15)</f>
        <v>71705</v>
      </c>
      <c r="E16" s="30">
        <f>SUM(E7:E15)</f>
        <v>14748</v>
      </c>
      <c r="F16" s="30">
        <f>SUM(F7:F15)</f>
        <v>2797</v>
      </c>
      <c r="G16" s="30">
        <f>SUM(G7:G15)</f>
        <v>2781403</v>
      </c>
    </row>
    <row r="17" spans="2:11" ht="6.75" customHeight="1" thickBot="1" x14ac:dyDescent="0.3">
      <c r="B17" s="3"/>
      <c r="C17" s="11"/>
      <c r="D17" s="11"/>
      <c r="E17" s="11"/>
      <c r="F17" s="11"/>
      <c r="G17" s="11"/>
    </row>
    <row r="18" spans="2:11" ht="69" thickBot="1" x14ac:dyDescent="0.3">
      <c r="B18" s="24" t="s">
        <v>13</v>
      </c>
      <c r="C18" s="33" t="s">
        <v>3</v>
      </c>
      <c r="D18" s="33" t="s">
        <v>4</v>
      </c>
      <c r="E18" s="33" t="s">
        <v>185</v>
      </c>
      <c r="F18" s="33" t="s">
        <v>186</v>
      </c>
      <c r="G18" s="25" t="s">
        <v>5</v>
      </c>
      <c r="K18" s="55"/>
    </row>
    <row r="19" spans="2:11" ht="16.5" thickBot="1" x14ac:dyDescent="0.3">
      <c r="B19" s="31" t="s">
        <v>6</v>
      </c>
      <c r="C19" s="31" t="s">
        <v>7</v>
      </c>
      <c r="D19" s="27" t="s">
        <v>8</v>
      </c>
      <c r="E19" s="74">
        <v>15</v>
      </c>
      <c r="F19" s="74">
        <v>17</v>
      </c>
      <c r="G19" s="28"/>
    </row>
    <row r="20" spans="2:11" ht="15.75" thickBot="1" x14ac:dyDescent="0.3">
      <c r="B20" s="41" t="s">
        <v>14</v>
      </c>
      <c r="C20" s="45">
        <f>1870011+313095+50000</f>
        <v>2233106</v>
      </c>
      <c r="D20" s="45">
        <v>22550</v>
      </c>
      <c r="E20" s="45"/>
      <c r="F20" s="45"/>
      <c r="G20" s="45">
        <f>SUM(C20:E20)</f>
        <v>2255656</v>
      </c>
    </row>
    <row r="21" spans="2:11" ht="15.75" thickBot="1" x14ac:dyDescent="0.3">
      <c r="B21" s="41" t="s">
        <v>15</v>
      </c>
      <c r="C21" s="45">
        <f>48936+7363</f>
        <v>56299</v>
      </c>
      <c r="D21" s="45">
        <v>400</v>
      </c>
      <c r="E21" s="45"/>
      <c r="F21" s="45"/>
      <c r="G21" s="45">
        <f t="shared" ref="G21:G22" si="1">SUM(C21:E21)</f>
        <v>56699</v>
      </c>
      <c r="I21" s="55"/>
    </row>
    <row r="22" spans="2:11" ht="15.75" thickBot="1" x14ac:dyDescent="0.3">
      <c r="B22" s="41" t="s">
        <v>16</v>
      </c>
      <c r="C22" s="45"/>
      <c r="D22" s="45">
        <f>1800+100+140+500</f>
        <v>2540</v>
      </c>
      <c r="E22" s="45"/>
      <c r="F22" s="45"/>
      <c r="G22" s="45">
        <f t="shared" si="1"/>
        <v>2540</v>
      </c>
    </row>
    <row r="23" spans="2:11" ht="15.75" thickBot="1" x14ac:dyDescent="0.3">
      <c r="B23" s="41" t="s">
        <v>17</v>
      </c>
      <c r="C23" s="42">
        <f>+C25+C26+C27+C28+C29+C24</f>
        <v>28150</v>
      </c>
      <c r="D23" s="42">
        <f t="shared" ref="D23:E23" si="2">+D25+D26+D27+D28+D29</f>
        <v>2100</v>
      </c>
      <c r="E23" s="42">
        <f t="shared" si="2"/>
        <v>0</v>
      </c>
      <c r="F23" s="42"/>
      <c r="G23" s="42">
        <f>+G24+G25+G26+G27+G28+G29</f>
        <v>30250</v>
      </c>
    </row>
    <row r="24" spans="2:11" s="86" customFormat="1" x14ac:dyDescent="0.25">
      <c r="B24" s="85" t="s">
        <v>172</v>
      </c>
      <c r="C24" s="71">
        <v>100</v>
      </c>
      <c r="D24" s="71"/>
      <c r="E24" s="73"/>
      <c r="F24" s="73"/>
      <c r="G24" s="73">
        <f>SUM(C24:E24)</f>
        <v>100</v>
      </c>
    </row>
    <row r="25" spans="2:11" x14ac:dyDescent="0.25">
      <c r="B25" s="6" t="s">
        <v>18</v>
      </c>
      <c r="C25" s="9"/>
      <c r="D25" s="9">
        <v>600</v>
      </c>
      <c r="E25" s="7"/>
      <c r="F25" s="7"/>
      <c r="G25" s="7">
        <f>SUM(C25:E25)</f>
        <v>600</v>
      </c>
      <c r="K25" s="55"/>
    </row>
    <row r="26" spans="2:11" x14ac:dyDescent="0.25">
      <c r="B26" s="8" t="s">
        <v>177</v>
      </c>
      <c r="C26" s="71">
        <f>7650+9700</f>
        <v>17350</v>
      </c>
      <c r="D26" s="9">
        <v>400</v>
      </c>
      <c r="E26" s="7"/>
      <c r="F26" s="7"/>
      <c r="G26" s="7">
        <f t="shared" ref="G26:G29" si="3">SUM(C26:E26)</f>
        <v>17750</v>
      </c>
    </row>
    <row r="27" spans="2:11" x14ac:dyDescent="0.25">
      <c r="B27" s="8" t="s">
        <v>19</v>
      </c>
      <c r="C27" s="9">
        <f>250-53+303</f>
        <v>500</v>
      </c>
      <c r="D27" s="9">
        <v>100</v>
      </c>
      <c r="E27" s="7"/>
      <c r="F27" s="7"/>
      <c r="G27" s="7">
        <f t="shared" si="3"/>
        <v>600</v>
      </c>
    </row>
    <row r="28" spans="2:11" x14ac:dyDescent="0.25">
      <c r="B28" s="12" t="s">
        <v>20</v>
      </c>
      <c r="C28" s="1">
        <f>750+150+500+1200</f>
        <v>2600</v>
      </c>
      <c r="D28" s="1">
        <v>100</v>
      </c>
      <c r="E28" s="9"/>
      <c r="F28" s="7"/>
      <c r="G28" s="7">
        <f t="shared" si="3"/>
        <v>2700</v>
      </c>
    </row>
    <row r="29" spans="2:11" ht="15.75" thickBot="1" x14ac:dyDescent="0.3">
      <c r="B29" s="8" t="s">
        <v>164</v>
      </c>
      <c r="C29" s="72">
        <f>5600+2000</f>
        <v>7600</v>
      </c>
      <c r="D29" s="72">
        <v>900</v>
      </c>
      <c r="E29" s="13"/>
      <c r="F29" s="13"/>
      <c r="G29" s="7">
        <f t="shared" si="3"/>
        <v>8500</v>
      </c>
    </row>
    <row r="30" spans="2:11" ht="15.75" thickBot="1" x14ac:dyDescent="0.3">
      <c r="B30" s="41" t="s">
        <v>21</v>
      </c>
      <c r="C30" s="45">
        <f>+C31</f>
        <v>31000</v>
      </c>
      <c r="D30" s="94">
        <f>+D31+D32</f>
        <v>535</v>
      </c>
      <c r="E30" s="44"/>
      <c r="F30" s="44"/>
      <c r="G30" s="45">
        <f>G31+G32</f>
        <v>31535</v>
      </c>
    </row>
    <row r="31" spans="2:11" x14ac:dyDescent="0.25">
      <c r="B31" s="10" t="s">
        <v>22</v>
      </c>
      <c r="C31" s="13">
        <v>31000</v>
      </c>
      <c r="D31" s="84">
        <f>200+25</f>
        <v>225</v>
      </c>
      <c r="E31" s="7"/>
      <c r="F31" s="101"/>
      <c r="G31" s="80">
        <f>SUM(C31:D31)</f>
        <v>31225</v>
      </c>
    </row>
    <row r="32" spans="2:11" x14ac:dyDescent="0.25">
      <c r="B32" s="52" t="s">
        <v>173</v>
      </c>
      <c r="C32" s="9"/>
      <c r="D32" s="9">
        <v>310</v>
      </c>
      <c r="E32" s="9"/>
      <c r="F32" s="9"/>
      <c r="G32" s="9">
        <f>SUM(C32:D32)</f>
        <v>310</v>
      </c>
    </row>
    <row r="33" spans="2:10" ht="15.75" thickBot="1" x14ac:dyDescent="0.3">
      <c r="B33" s="48" t="s">
        <v>23</v>
      </c>
      <c r="C33" s="79">
        <f>SUM(C34:C57)</f>
        <v>97417</v>
      </c>
      <c r="D33" s="79">
        <f t="shared" ref="D33" si="4">SUM(D34:D57)</f>
        <v>7495</v>
      </c>
      <c r="E33" s="79"/>
      <c r="F33" s="79"/>
      <c r="G33" s="79">
        <f>SUM(G34:G57)</f>
        <v>104912</v>
      </c>
    </row>
    <row r="34" spans="2:10" x14ac:dyDescent="0.25">
      <c r="B34" s="52" t="s">
        <v>24</v>
      </c>
      <c r="C34" s="9">
        <v>2000</v>
      </c>
      <c r="D34" s="9">
        <f>200+100+50</f>
        <v>350</v>
      </c>
      <c r="E34" s="9"/>
      <c r="F34" s="9"/>
      <c r="G34" s="9">
        <f>SUM(C34:E34)</f>
        <v>2350</v>
      </c>
    </row>
    <row r="35" spans="2:10" x14ac:dyDescent="0.25">
      <c r="B35" s="52" t="s">
        <v>25</v>
      </c>
      <c r="C35" s="71">
        <f>27392+100+300+500-965</f>
        <v>27327</v>
      </c>
      <c r="D35" s="71">
        <v>500</v>
      </c>
      <c r="E35" s="9"/>
      <c r="F35" s="9"/>
      <c r="G35" s="9">
        <f t="shared" ref="G35:G57" si="5">SUM(C35:E35)</f>
        <v>27827</v>
      </c>
    </row>
    <row r="36" spans="2:10" x14ac:dyDescent="0.25">
      <c r="B36" s="52" t="s">
        <v>26</v>
      </c>
      <c r="C36" s="71">
        <f>11000+1500+1000-800</f>
        <v>12700</v>
      </c>
      <c r="D36" s="71">
        <v>500</v>
      </c>
      <c r="E36" s="9"/>
      <c r="F36" s="9"/>
      <c r="G36" s="9">
        <f t="shared" si="5"/>
        <v>13200</v>
      </c>
    </row>
    <row r="37" spans="2:10" x14ac:dyDescent="0.25">
      <c r="B37" s="52" t="s">
        <v>27</v>
      </c>
      <c r="C37" s="71">
        <v>100</v>
      </c>
      <c r="D37" s="9"/>
      <c r="E37" s="9"/>
      <c r="F37" s="9"/>
      <c r="G37" s="9">
        <f t="shared" si="5"/>
        <v>100</v>
      </c>
      <c r="I37" s="55"/>
    </row>
    <row r="38" spans="2:10" x14ac:dyDescent="0.25">
      <c r="B38" s="52" t="s">
        <v>28</v>
      </c>
      <c r="C38" s="71">
        <f>21000-1000-1300+2200</f>
        <v>20900</v>
      </c>
      <c r="D38" s="65">
        <v>1500</v>
      </c>
      <c r="E38" s="9"/>
      <c r="F38" s="9"/>
      <c r="G38" s="9">
        <f t="shared" si="5"/>
        <v>22400</v>
      </c>
      <c r="J38" s="55"/>
    </row>
    <row r="39" spans="2:10" x14ac:dyDescent="0.25">
      <c r="B39" s="52" t="s">
        <v>29</v>
      </c>
      <c r="C39" s="71">
        <f>6540</f>
        <v>6540</v>
      </c>
      <c r="D39" s="71">
        <f>120+60</f>
        <v>180</v>
      </c>
      <c r="E39" s="9"/>
      <c r="F39" s="9"/>
      <c r="G39" s="9">
        <f t="shared" si="5"/>
        <v>6720</v>
      </c>
      <c r="J39" s="55"/>
    </row>
    <row r="40" spans="2:10" x14ac:dyDescent="0.25">
      <c r="B40" s="52" t="s">
        <v>30</v>
      </c>
      <c r="C40" s="9">
        <v>500</v>
      </c>
      <c r="D40" s="9"/>
      <c r="E40" s="9"/>
      <c r="F40" s="9"/>
      <c r="G40" s="9">
        <f t="shared" si="5"/>
        <v>500</v>
      </c>
    </row>
    <row r="41" spans="2:10" x14ac:dyDescent="0.25">
      <c r="B41" s="52" t="s">
        <v>31</v>
      </c>
      <c r="C41" s="9">
        <v>400</v>
      </c>
      <c r="D41" s="9"/>
      <c r="E41" s="9"/>
      <c r="F41" s="9"/>
      <c r="G41" s="9">
        <f t="shared" si="5"/>
        <v>400</v>
      </c>
    </row>
    <row r="42" spans="2:10" x14ac:dyDescent="0.25">
      <c r="B42" s="52" t="s">
        <v>32</v>
      </c>
      <c r="C42" s="9">
        <v>5600</v>
      </c>
      <c r="D42" s="9"/>
      <c r="E42" s="9"/>
      <c r="F42" s="9"/>
      <c r="G42" s="9">
        <f t="shared" si="5"/>
        <v>5600</v>
      </c>
    </row>
    <row r="43" spans="2:10" x14ac:dyDescent="0.25">
      <c r="B43" s="52" t="s">
        <v>33</v>
      </c>
      <c r="C43" s="71">
        <v>5500</v>
      </c>
      <c r="D43" s="71">
        <f>3600-550+15</f>
        <v>3065</v>
      </c>
      <c r="E43" s="9"/>
      <c r="F43" s="9"/>
      <c r="G43" s="9">
        <f t="shared" si="5"/>
        <v>8565</v>
      </c>
    </row>
    <row r="44" spans="2:10" x14ac:dyDescent="0.25">
      <c r="B44" s="52" t="s">
        <v>34</v>
      </c>
      <c r="C44" s="9">
        <v>5000</v>
      </c>
      <c r="D44" s="9"/>
      <c r="E44" s="9"/>
      <c r="F44" s="9"/>
      <c r="G44" s="9">
        <f t="shared" si="5"/>
        <v>5000</v>
      </c>
    </row>
    <row r="45" spans="2:10" x14ac:dyDescent="0.25">
      <c r="B45" s="52" t="s">
        <v>35</v>
      </c>
      <c r="C45" s="9">
        <v>2500</v>
      </c>
      <c r="D45" s="9"/>
      <c r="E45" s="9"/>
      <c r="F45" s="9"/>
      <c r="G45" s="9">
        <f t="shared" si="5"/>
        <v>2500</v>
      </c>
    </row>
    <row r="46" spans="2:10" x14ac:dyDescent="0.25">
      <c r="B46" s="52" t="s">
        <v>36</v>
      </c>
      <c r="C46" s="9">
        <v>1300</v>
      </c>
      <c r="D46" s="9"/>
      <c r="E46" s="9"/>
      <c r="F46" s="9"/>
      <c r="G46" s="9">
        <f t="shared" si="5"/>
        <v>1300</v>
      </c>
    </row>
    <row r="47" spans="2:10" x14ac:dyDescent="0.25">
      <c r="B47" s="52" t="s">
        <v>37</v>
      </c>
      <c r="C47" s="9"/>
      <c r="D47" s="9"/>
      <c r="E47" s="9"/>
      <c r="F47" s="9"/>
      <c r="G47" s="9">
        <f t="shared" si="5"/>
        <v>0</v>
      </c>
    </row>
    <row r="48" spans="2:10" x14ac:dyDescent="0.25">
      <c r="B48" s="52" t="s">
        <v>38</v>
      </c>
      <c r="C48" s="9">
        <f>600+100-50-50</f>
        <v>600</v>
      </c>
      <c r="D48" s="9">
        <v>50</v>
      </c>
      <c r="E48" s="9"/>
      <c r="F48" s="9"/>
      <c r="G48" s="9">
        <f t="shared" si="5"/>
        <v>650</v>
      </c>
    </row>
    <row r="49" spans="2:7" x14ac:dyDescent="0.25">
      <c r="B49" s="52" t="s">
        <v>39</v>
      </c>
      <c r="C49" s="9">
        <f>350+150</f>
        <v>500</v>
      </c>
      <c r="D49" s="9"/>
      <c r="E49" s="9"/>
      <c r="F49" s="9"/>
      <c r="G49" s="9">
        <f t="shared" si="5"/>
        <v>500</v>
      </c>
    </row>
    <row r="50" spans="2:7" x14ac:dyDescent="0.25">
      <c r="B50" s="52" t="s">
        <v>40</v>
      </c>
      <c r="C50" s="9">
        <f>550+50</f>
        <v>600</v>
      </c>
      <c r="D50" s="9"/>
      <c r="E50" s="9"/>
      <c r="F50" s="9"/>
      <c r="G50" s="9">
        <f t="shared" si="5"/>
        <v>600</v>
      </c>
    </row>
    <row r="51" spans="2:7" x14ac:dyDescent="0.25">
      <c r="B51" s="52" t="s">
        <v>41</v>
      </c>
      <c r="C51" s="9">
        <f>3800</f>
        <v>3800</v>
      </c>
      <c r="D51" s="9"/>
      <c r="E51" s="9"/>
      <c r="F51" s="9"/>
      <c r="G51" s="9">
        <f t="shared" si="5"/>
        <v>3800</v>
      </c>
    </row>
    <row r="52" spans="2:7" x14ac:dyDescent="0.25">
      <c r="B52" s="52" t="s">
        <v>42</v>
      </c>
      <c r="C52" s="9">
        <f>1200+350</f>
        <v>1550</v>
      </c>
      <c r="D52" s="9"/>
      <c r="E52" s="9"/>
      <c r="F52" s="9"/>
      <c r="G52" s="9">
        <f t="shared" si="5"/>
        <v>1550</v>
      </c>
    </row>
    <row r="53" spans="2:7" x14ac:dyDescent="0.25">
      <c r="B53" s="52" t="s">
        <v>43</v>
      </c>
      <c r="C53" s="9"/>
      <c r="D53" s="9">
        <v>400</v>
      </c>
      <c r="E53" s="9"/>
      <c r="F53" s="9"/>
      <c r="G53" s="9">
        <f t="shared" si="5"/>
        <v>400</v>
      </c>
    </row>
    <row r="54" spans="2:7" x14ac:dyDescent="0.25">
      <c r="B54" s="52" t="s">
        <v>150</v>
      </c>
      <c r="C54" s="9"/>
      <c r="D54" s="9">
        <v>250</v>
      </c>
      <c r="E54" s="9"/>
      <c r="F54" s="9"/>
      <c r="G54" s="9">
        <f t="shared" si="5"/>
        <v>250</v>
      </c>
    </row>
    <row r="55" spans="2:7" x14ac:dyDescent="0.25">
      <c r="B55" s="52" t="s">
        <v>44</v>
      </c>
      <c r="C55" s="9"/>
      <c r="D55" s="9"/>
      <c r="E55" s="9"/>
      <c r="F55" s="9"/>
      <c r="G55" s="9">
        <f t="shared" si="5"/>
        <v>0</v>
      </c>
    </row>
    <row r="56" spans="2:7" x14ac:dyDescent="0.25">
      <c r="B56" s="53" t="s">
        <v>45</v>
      </c>
      <c r="C56" s="9"/>
      <c r="D56" s="9">
        <v>250</v>
      </c>
      <c r="E56" s="9"/>
      <c r="F56" s="9"/>
      <c r="G56" s="9">
        <f t="shared" si="5"/>
        <v>250</v>
      </c>
    </row>
    <row r="57" spans="2:7" ht="15.75" thickBot="1" x14ac:dyDescent="0.3">
      <c r="B57" s="52" t="s">
        <v>46</v>
      </c>
      <c r="C57" s="54"/>
      <c r="D57" s="9">
        <v>450</v>
      </c>
      <c r="E57" s="54"/>
      <c r="F57" s="54"/>
      <c r="G57" s="9">
        <f t="shared" si="5"/>
        <v>450</v>
      </c>
    </row>
    <row r="58" spans="2:7" ht="15.75" thickBot="1" x14ac:dyDescent="0.3">
      <c r="B58" s="41" t="s">
        <v>47</v>
      </c>
      <c r="C58" s="42">
        <f>SUM(C59:C67)</f>
        <v>0</v>
      </c>
      <c r="D58" s="42">
        <f t="shared" ref="D58" si="6">SUM(D59:D67)</f>
        <v>1400</v>
      </c>
      <c r="E58" s="42"/>
      <c r="F58" s="94"/>
      <c r="G58" s="44">
        <f>SUM(G59:G67)</f>
        <v>1400</v>
      </c>
    </row>
    <row r="59" spans="2:7" x14ac:dyDescent="0.25">
      <c r="B59" s="4" t="s">
        <v>48</v>
      </c>
      <c r="C59" s="7"/>
      <c r="D59" s="7">
        <v>0</v>
      </c>
      <c r="E59" s="7"/>
      <c r="F59" s="7"/>
      <c r="G59" s="7">
        <f>SUM(C59:E59)</f>
        <v>0</v>
      </c>
    </row>
    <row r="60" spans="2:7" x14ac:dyDescent="0.25">
      <c r="B60" s="8" t="s">
        <v>49</v>
      </c>
      <c r="C60" s="9"/>
      <c r="D60" s="9">
        <v>100</v>
      </c>
      <c r="E60" s="9"/>
      <c r="F60" s="7"/>
      <c r="G60" s="7">
        <f t="shared" ref="G60:G67" si="7">SUM(C60:E60)</f>
        <v>100</v>
      </c>
    </row>
    <row r="61" spans="2:7" x14ac:dyDescent="0.25">
      <c r="B61" s="8" t="s">
        <v>50</v>
      </c>
      <c r="C61" s="9"/>
      <c r="D61" s="9">
        <v>800</v>
      </c>
      <c r="E61" s="9"/>
      <c r="F61" s="7"/>
      <c r="G61" s="7">
        <f t="shared" si="7"/>
        <v>800</v>
      </c>
    </row>
    <row r="62" spans="2:7" x14ac:dyDescent="0.25">
      <c r="B62" s="8" t="s">
        <v>51</v>
      </c>
      <c r="C62" s="9"/>
      <c r="D62" s="9">
        <v>50</v>
      </c>
      <c r="E62" s="9"/>
      <c r="F62" s="7"/>
      <c r="G62" s="7">
        <f t="shared" si="7"/>
        <v>50</v>
      </c>
    </row>
    <row r="63" spans="2:7" x14ac:dyDescent="0.25">
      <c r="B63" s="8" t="s">
        <v>52</v>
      </c>
      <c r="C63" s="9"/>
      <c r="D63" s="9">
        <f>100-50</f>
        <v>50</v>
      </c>
      <c r="E63" s="9"/>
      <c r="F63" s="7"/>
      <c r="G63" s="7">
        <f t="shared" si="7"/>
        <v>50</v>
      </c>
    </row>
    <row r="64" spans="2:7" x14ac:dyDescent="0.25">
      <c r="B64" s="8" t="s">
        <v>53</v>
      </c>
      <c r="C64" s="9"/>
      <c r="D64" s="9">
        <v>100</v>
      </c>
      <c r="E64" s="9"/>
      <c r="F64" s="7"/>
      <c r="G64" s="7">
        <f t="shared" si="7"/>
        <v>100</v>
      </c>
    </row>
    <row r="65" spans="2:7" x14ac:dyDescent="0.25">
      <c r="B65" s="8" t="s">
        <v>54</v>
      </c>
      <c r="C65" s="9"/>
      <c r="D65" s="9">
        <v>100</v>
      </c>
      <c r="E65" s="9"/>
      <c r="F65" s="7"/>
      <c r="G65" s="7">
        <f t="shared" si="7"/>
        <v>100</v>
      </c>
    </row>
    <row r="66" spans="2:7" x14ac:dyDescent="0.25">
      <c r="B66" s="8" t="s">
        <v>55</v>
      </c>
      <c r="C66" s="9"/>
      <c r="D66" s="9">
        <f>50-50</f>
        <v>0</v>
      </c>
      <c r="E66" s="9"/>
      <c r="F66" s="7"/>
      <c r="G66" s="7">
        <f t="shared" si="7"/>
        <v>0</v>
      </c>
    </row>
    <row r="67" spans="2:7" ht="15.75" thickBot="1" x14ac:dyDescent="0.3">
      <c r="B67" s="12" t="s">
        <v>56</v>
      </c>
      <c r="C67" s="1"/>
      <c r="D67" s="1">
        <v>200</v>
      </c>
      <c r="E67" s="1"/>
      <c r="F67" s="13"/>
      <c r="G67" s="7">
        <f t="shared" si="7"/>
        <v>200</v>
      </c>
    </row>
    <row r="68" spans="2:7" ht="15.75" thickBot="1" x14ac:dyDescent="0.3">
      <c r="B68" s="41" t="s">
        <v>57</v>
      </c>
      <c r="C68" s="42">
        <f>SUM(C69:C92)</f>
        <v>19600</v>
      </c>
      <c r="D68" s="42">
        <f>SUM(D69:D92)</f>
        <v>9820</v>
      </c>
      <c r="E68" s="42">
        <f t="shared" ref="E68" si="8">SUM(E69:E92)</f>
        <v>40</v>
      </c>
      <c r="F68" s="94"/>
      <c r="G68" s="44">
        <f>SUM(G69:G92)</f>
        <v>29460</v>
      </c>
    </row>
    <row r="69" spans="2:7" x14ac:dyDescent="0.25">
      <c r="B69" s="14" t="s">
        <v>162</v>
      </c>
      <c r="C69" s="7"/>
      <c r="D69" s="7">
        <v>100</v>
      </c>
      <c r="E69" s="63"/>
      <c r="F69" s="63"/>
      <c r="G69" s="2">
        <f t="shared" ref="G69:G92" si="9">SUM(C69:E69)</f>
        <v>100</v>
      </c>
    </row>
    <row r="70" spans="2:7" x14ac:dyDescent="0.25">
      <c r="B70" s="14" t="s">
        <v>58</v>
      </c>
      <c r="C70" s="7"/>
      <c r="D70" s="7">
        <v>100</v>
      </c>
      <c r="E70" s="63"/>
      <c r="F70" s="63"/>
      <c r="G70" s="2">
        <f t="shared" si="9"/>
        <v>100</v>
      </c>
    </row>
    <row r="71" spans="2:7" x14ac:dyDescent="0.25">
      <c r="B71" s="8" t="s">
        <v>59</v>
      </c>
      <c r="C71" s="9"/>
      <c r="D71" s="9">
        <v>400</v>
      </c>
      <c r="E71" s="63"/>
      <c r="F71" s="63"/>
      <c r="G71" s="2">
        <f t="shared" si="9"/>
        <v>400</v>
      </c>
    </row>
    <row r="72" spans="2:7" x14ac:dyDescent="0.25">
      <c r="B72" s="8" t="s">
        <v>60</v>
      </c>
      <c r="C72" s="9">
        <v>4000</v>
      </c>
      <c r="D72" s="9"/>
      <c r="E72" s="63"/>
      <c r="F72" s="63"/>
      <c r="G72" s="2">
        <f t="shared" si="9"/>
        <v>4000</v>
      </c>
    </row>
    <row r="73" spans="2:7" x14ac:dyDescent="0.25">
      <c r="B73" s="8" t="s">
        <v>61</v>
      </c>
      <c r="C73" s="71">
        <v>5000</v>
      </c>
      <c r="D73" s="9"/>
      <c r="E73" s="63"/>
      <c r="F73" s="63"/>
      <c r="G73" s="2">
        <f t="shared" si="9"/>
        <v>5000</v>
      </c>
    </row>
    <row r="74" spans="2:7" x14ac:dyDescent="0.25">
      <c r="B74" s="8" t="s">
        <v>62</v>
      </c>
      <c r="C74" s="9"/>
      <c r="D74" s="65">
        <f>200+100+150</f>
        <v>450</v>
      </c>
      <c r="E74" s="63"/>
      <c r="F74" s="63"/>
      <c r="G74" s="2">
        <f t="shared" si="9"/>
        <v>450</v>
      </c>
    </row>
    <row r="75" spans="2:7" x14ac:dyDescent="0.25">
      <c r="B75" s="8" t="s">
        <v>63</v>
      </c>
      <c r="C75" s="9">
        <v>5000</v>
      </c>
      <c r="D75" s="71">
        <v>1500</v>
      </c>
      <c r="E75" s="63"/>
      <c r="F75" s="63"/>
      <c r="G75" s="2">
        <f t="shared" si="9"/>
        <v>6500</v>
      </c>
    </row>
    <row r="76" spans="2:7" x14ac:dyDescent="0.25">
      <c r="B76" s="8" t="s">
        <v>64</v>
      </c>
      <c r="C76" s="9"/>
      <c r="D76" s="9">
        <v>350</v>
      </c>
      <c r="E76" s="63"/>
      <c r="F76" s="63"/>
      <c r="G76" s="2">
        <f t="shared" si="9"/>
        <v>350</v>
      </c>
    </row>
    <row r="77" spans="2:7" x14ac:dyDescent="0.25">
      <c r="B77" s="8" t="s">
        <v>65</v>
      </c>
      <c r="C77" s="9"/>
      <c r="D77" s="9">
        <f>100-100</f>
        <v>0</v>
      </c>
      <c r="E77" s="63"/>
      <c r="F77" s="63"/>
      <c r="G77" s="2">
        <f t="shared" si="9"/>
        <v>0</v>
      </c>
    </row>
    <row r="78" spans="2:7" x14ac:dyDescent="0.25">
      <c r="B78" s="8" t="s">
        <v>66</v>
      </c>
      <c r="C78" s="9"/>
      <c r="D78" s="9">
        <v>100</v>
      </c>
      <c r="E78" s="63"/>
      <c r="F78" s="63"/>
      <c r="G78" s="2">
        <f t="shared" si="9"/>
        <v>100</v>
      </c>
    </row>
    <row r="79" spans="2:7" x14ac:dyDescent="0.25">
      <c r="B79" s="8" t="s">
        <v>67</v>
      </c>
      <c r="C79" s="9"/>
      <c r="D79" s="9">
        <v>200</v>
      </c>
      <c r="E79" s="63"/>
      <c r="F79" s="63"/>
      <c r="G79" s="2">
        <f t="shared" si="9"/>
        <v>200</v>
      </c>
    </row>
    <row r="80" spans="2:7" x14ac:dyDescent="0.25">
      <c r="B80" s="8" t="s">
        <v>68</v>
      </c>
      <c r="C80" s="9"/>
      <c r="D80" s="9">
        <v>100</v>
      </c>
      <c r="E80" s="63"/>
      <c r="F80" s="63"/>
      <c r="G80" s="2">
        <f t="shared" si="9"/>
        <v>100</v>
      </c>
    </row>
    <row r="81" spans="2:7" x14ac:dyDescent="0.25">
      <c r="B81" s="8" t="s">
        <v>69</v>
      </c>
      <c r="C81" s="9">
        <v>100</v>
      </c>
      <c r="D81" s="9"/>
      <c r="E81" s="63"/>
      <c r="F81" s="63"/>
      <c r="G81" s="2">
        <f t="shared" si="9"/>
        <v>100</v>
      </c>
    </row>
    <row r="82" spans="2:7" x14ac:dyDescent="0.25">
      <c r="B82" s="8" t="s">
        <v>70</v>
      </c>
      <c r="C82" s="9"/>
      <c r="D82" s="9">
        <v>250</v>
      </c>
      <c r="E82" s="63">
        <v>40</v>
      </c>
      <c r="F82" s="63"/>
      <c r="G82" s="2">
        <f t="shared" si="9"/>
        <v>290</v>
      </c>
    </row>
    <row r="83" spans="2:7" x14ac:dyDescent="0.25">
      <c r="B83" s="8" t="s">
        <v>71</v>
      </c>
      <c r="C83" s="9"/>
      <c r="D83" s="9">
        <v>500</v>
      </c>
      <c r="E83" s="63"/>
      <c r="F83" s="63"/>
      <c r="G83" s="2">
        <f t="shared" si="9"/>
        <v>500</v>
      </c>
    </row>
    <row r="84" spans="2:7" x14ac:dyDescent="0.25">
      <c r="B84" s="8" t="s">
        <v>72</v>
      </c>
      <c r="C84" s="9"/>
      <c r="D84" s="9">
        <v>50</v>
      </c>
      <c r="E84" s="63"/>
      <c r="F84" s="63"/>
      <c r="G84" s="2">
        <f t="shared" si="9"/>
        <v>50</v>
      </c>
    </row>
    <row r="85" spans="2:7" x14ac:dyDescent="0.25">
      <c r="B85" s="8" t="s">
        <v>73</v>
      </c>
      <c r="C85" s="16"/>
      <c r="D85" s="9">
        <v>1150</v>
      </c>
      <c r="E85" s="63"/>
      <c r="F85" s="63"/>
      <c r="G85" s="2">
        <f t="shared" si="9"/>
        <v>1150</v>
      </c>
    </row>
    <row r="86" spans="2:7" x14ac:dyDescent="0.25">
      <c r="B86" s="15" t="s">
        <v>74</v>
      </c>
      <c r="C86" s="16"/>
      <c r="D86" s="9">
        <v>50</v>
      </c>
      <c r="E86" s="63"/>
      <c r="F86" s="63"/>
      <c r="G86" s="2">
        <f t="shared" si="9"/>
        <v>50</v>
      </c>
    </row>
    <row r="87" spans="2:7" x14ac:dyDescent="0.25">
      <c r="B87" s="6" t="s">
        <v>75</v>
      </c>
      <c r="C87" s="9"/>
      <c r="D87" s="9">
        <v>1500</v>
      </c>
      <c r="E87" s="63"/>
      <c r="F87" s="63"/>
      <c r="G87" s="2">
        <f t="shared" si="9"/>
        <v>1500</v>
      </c>
    </row>
    <row r="88" spans="2:7" x14ac:dyDescent="0.25">
      <c r="B88" s="8" t="s">
        <v>76</v>
      </c>
      <c r="C88" s="9"/>
      <c r="D88" s="9">
        <f>600-C84252</f>
        <v>600</v>
      </c>
      <c r="E88" s="63"/>
      <c r="F88" s="63"/>
      <c r="G88" s="2">
        <f t="shared" si="9"/>
        <v>600</v>
      </c>
    </row>
    <row r="89" spans="2:7" x14ac:dyDescent="0.25">
      <c r="B89" s="8" t="s">
        <v>77</v>
      </c>
      <c r="C89" s="9">
        <v>5500</v>
      </c>
      <c r="D89" s="9"/>
      <c r="E89" s="63"/>
      <c r="F89" s="63"/>
      <c r="G89" s="2">
        <f t="shared" si="9"/>
        <v>5500</v>
      </c>
    </row>
    <row r="90" spans="2:7" x14ac:dyDescent="0.25">
      <c r="B90" s="8" t="s">
        <v>78</v>
      </c>
      <c r="C90" s="9"/>
      <c r="D90" s="9">
        <v>650</v>
      </c>
      <c r="E90" s="63"/>
      <c r="F90" s="63"/>
      <c r="G90" s="2">
        <f t="shared" si="9"/>
        <v>650</v>
      </c>
    </row>
    <row r="91" spans="2:7" x14ac:dyDescent="0.25">
      <c r="B91" s="8" t="s">
        <v>79</v>
      </c>
      <c r="C91" s="9"/>
      <c r="D91" s="9">
        <v>150</v>
      </c>
      <c r="E91" s="63"/>
      <c r="F91" s="63"/>
      <c r="G91" s="2">
        <f t="shared" si="9"/>
        <v>150</v>
      </c>
    </row>
    <row r="92" spans="2:7" ht="15.75" thickBot="1" x14ac:dyDescent="0.3">
      <c r="B92" s="12" t="s">
        <v>80</v>
      </c>
      <c r="C92" s="1"/>
      <c r="D92" s="1">
        <f>1800-280+100</f>
        <v>1620</v>
      </c>
      <c r="E92" s="37"/>
      <c r="F92" s="37"/>
      <c r="G92" s="2">
        <f t="shared" si="9"/>
        <v>1620</v>
      </c>
    </row>
    <row r="93" spans="2:7" ht="15.75" thickBot="1" x14ac:dyDescent="0.3">
      <c r="B93" s="41" t="s">
        <v>81</v>
      </c>
      <c r="C93" s="45">
        <f>SUM(C94:C99)</f>
        <v>1250</v>
      </c>
      <c r="D93" s="45">
        <f t="shared" ref="D93:E93" si="10">SUM(D94:D99)</f>
        <v>7900</v>
      </c>
      <c r="E93" s="45">
        <f t="shared" si="10"/>
        <v>0</v>
      </c>
      <c r="F93" s="45"/>
      <c r="G93" s="45">
        <f>SUM(G94:G99)</f>
        <v>9150</v>
      </c>
    </row>
    <row r="94" spans="2:7" x14ac:dyDescent="0.25">
      <c r="B94" s="6" t="s">
        <v>82</v>
      </c>
      <c r="C94" s="7">
        <v>50</v>
      </c>
      <c r="D94" s="7">
        <v>50</v>
      </c>
      <c r="E94" s="63"/>
      <c r="F94" s="37"/>
      <c r="G94" s="76">
        <f>SUM(C94:E94)</f>
        <v>100</v>
      </c>
    </row>
    <row r="95" spans="2:7" x14ac:dyDescent="0.25">
      <c r="B95" s="8" t="s">
        <v>83</v>
      </c>
      <c r="C95" s="9">
        <f>600-100</f>
        <v>500</v>
      </c>
      <c r="D95" s="9"/>
      <c r="E95" s="63"/>
      <c r="F95" s="63"/>
      <c r="G95" s="9">
        <f t="shared" ref="G95:G99" si="11">SUM(C95:E95)</f>
        <v>500</v>
      </c>
    </row>
    <row r="96" spans="2:7" x14ac:dyDescent="0.25">
      <c r="B96" s="8" t="s">
        <v>154</v>
      </c>
      <c r="C96" s="9"/>
      <c r="D96" s="9">
        <v>3300</v>
      </c>
      <c r="E96" s="63"/>
      <c r="F96" s="63"/>
      <c r="G96" s="9">
        <f t="shared" si="11"/>
        <v>3300</v>
      </c>
    </row>
    <row r="97" spans="2:7" x14ac:dyDescent="0.25">
      <c r="B97" s="8" t="s">
        <v>84</v>
      </c>
      <c r="C97" s="96">
        <v>700</v>
      </c>
      <c r="D97" s="9">
        <v>3000</v>
      </c>
      <c r="E97" s="63"/>
      <c r="F97" s="63"/>
      <c r="G97" s="9">
        <f t="shared" si="11"/>
        <v>3700</v>
      </c>
    </row>
    <row r="98" spans="2:7" x14ac:dyDescent="0.25">
      <c r="B98" s="8" t="s">
        <v>85</v>
      </c>
      <c r="C98" s="9"/>
      <c r="D98" s="9">
        <v>50</v>
      </c>
      <c r="E98" s="63"/>
      <c r="F98" s="63"/>
      <c r="G98" s="9">
        <f t="shared" si="11"/>
        <v>50</v>
      </c>
    </row>
    <row r="99" spans="2:7" ht="15.75" thickBot="1" x14ac:dyDescent="0.3">
      <c r="B99" s="12" t="s">
        <v>86</v>
      </c>
      <c r="C99" s="1"/>
      <c r="D99" s="72">
        <v>1500</v>
      </c>
      <c r="E99" s="37"/>
      <c r="F99" s="37"/>
      <c r="G99" s="2">
        <f t="shared" si="11"/>
        <v>1500</v>
      </c>
    </row>
    <row r="100" spans="2:7" ht="15.75" thickBot="1" x14ac:dyDescent="0.3">
      <c r="B100" s="41" t="s">
        <v>87</v>
      </c>
      <c r="C100" s="45">
        <f>SUM(C101:C124)</f>
        <v>29020</v>
      </c>
      <c r="D100" s="45">
        <f t="shared" ref="D100:G100" si="12">SUM(D101:D124)</f>
        <v>2210</v>
      </c>
      <c r="E100" s="45">
        <f t="shared" si="12"/>
        <v>0</v>
      </c>
      <c r="F100" s="45"/>
      <c r="G100" s="45">
        <f t="shared" si="12"/>
        <v>31230</v>
      </c>
    </row>
    <row r="101" spans="2:7" x14ac:dyDescent="0.25">
      <c r="B101" s="6" t="s">
        <v>88</v>
      </c>
      <c r="C101" s="89">
        <v>1000</v>
      </c>
      <c r="D101" s="7"/>
      <c r="E101" s="7"/>
      <c r="F101" s="7"/>
      <c r="G101" s="9">
        <f>SUM(C101:E101)</f>
        <v>1000</v>
      </c>
    </row>
    <row r="102" spans="2:7" x14ac:dyDescent="0.25">
      <c r="B102" s="8" t="s">
        <v>89</v>
      </c>
      <c r="C102" s="71">
        <v>200</v>
      </c>
      <c r="D102" s="9"/>
      <c r="E102" s="9"/>
      <c r="F102" s="9"/>
      <c r="G102" s="9">
        <f t="shared" ref="G102:G124" si="13">SUM(C102:E102)</f>
        <v>200</v>
      </c>
    </row>
    <row r="103" spans="2:7" x14ac:dyDescent="0.25">
      <c r="B103" s="8" t="s">
        <v>146</v>
      </c>
      <c r="C103" s="71">
        <v>1200</v>
      </c>
      <c r="D103" s="9"/>
      <c r="E103" s="9"/>
      <c r="F103" s="9"/>
      <c r="G103" s="9">
        <f t="shared" si="13"/>
        <v>1200</v>
      </c>
    </row>
    <row r="104" spans="2:7" x14ac:dyDescent="0.25">
      <c r="B104" s="8" t="s">
        <v>90</v>
      </c>
      <c r="C104" s="71">
        <v>400</v>
      </c>
      <c r="D104" s="9"/>
      <c r="E104" s="9"/>
      <c r="F104" s="9"/>
      <c r="G104" s="9">
        <f t="shared" si="13"/>
        <v>400</v>
      </c>
    </row>
    <row r="105" spans="2:7" x14ac:dyDescent="0.25">
      <c r="B105" s="8" t="s">
        <v>91</v>
      </c>
      <c r="C105" s="71">
        <f>800+400+320</f>
        <v>1520</v>
      </c>
      <c r="D105" s="9"/>
      <c r="E105" s="9"/>
      <c r="F105" s="9"/>
      <c r="G105" s="9">
        <f t="shared" si="13"/>
        <v>1520</v>
      </c>
    </row>
    <row r="106" spans="2:7" x14ac:dyDescent="0.25">
      <c r="B106" s="8" t="s">
        <v>92</v>
      </c>
      <c r="C106" s="71">
        <v>400</v>
      </c>
      <c r="D106" s="9"/>
      <c r="E106" s="9"/>
      <c r="F106" s="9"/>
      <c r="G106" s="9">
        <f t="shared" si="13"/>
        <v>400</v>
      </c>
    </row>
    <row r="107" spans="2:7" x14ac:dyDescent="0.25">
      <c r="B107" s="8" t="s">
        <v>93</v>
      </c>
      <c r="C107" s="71">
        <v>1800</v>
      </c>
      <c r="D107" s="9">
        <v>10</v>
      </c>
      <c r="E107" s="9"/>
      <c r="F107" s="9"/>
      <c r="G107" s="9">
        <f t="shared" si="13"/>
        <v>1810</v>
      </c>
    </row>
    <row r="108" spans="2:7" x14ac:dyDescent="0.25">
      <c r="B108" s="8" t="s">
        <v>157</v>
      </c>
      <c r="C108" s="71">
        <v>0</v>
      </c>
      <c r="D108" s="9"/>
      <c r="E108" s="9"/>
      <c r="F108" s="9"/>
      <c r="G108" s="9">
        <f t="shared" si="13"/>
        <v>0</v>
      </c>
    </row>
    <row r="109" spans="2:7" x14ac:dyDescent="0.25">
      <c r="B109" s="8" t="s">
        <v>94</v>
      </c>
      <c r="C109" s="71">
        <f>1200+1100</f>
        <v>2300</v>
      </c>
      <c r="D109" s="9"/>
      <c r="E109" s="9"/>
      <c r="F109" s="9"/>
      <c r="G109" s="9">
        <f t="shared" si="13"/>
        <v>2300</v>
      </c>
    </row>
    <row r="110" spans="2:7" x14ac:dyDescent="0.25">
      <c r="B110" s="8" t="s">
        <v>95</v>
      </c>
      <c r="C110" s="71">
        <f>1200-600+600</f>
        <v>1200</v>
      </c>
      <c r="D110" s="9"/>
      <c r="E110" s="9"/>
      <c r="F110" s="9"/>
      <c r="G110" s="9">
        <f t="shared" si="13"/>
        <v>1200</v>
      </c>
    </row>
    <row r="111" spans="2:7" x14ac:dyDescent="0.25">
      <c r="B111" s="8" t="s">
        <v>96</v>
      </c>
      <c r="C111" s="65">
        <v>8000</v>
      </c>
      <c r="D111" s="9"/>
      <c r="E111" s="9"/>
      <c r="F111" s="9"/>
      <c r="G111" s="9">
        <f t="shared" si="13"/>
        <v>8000</v>
      </c>
    </row>
    <row r="112" spans="2:7" x14ac:dyDescent="0.25">
      <c r="B112" s="8" t="s">
        <v>97</v>
      </c>
      <c r="C112" s="9"/>
      <c r="D112" s="9">
        <v>100</v>
      </c>
      <c r="E112" s="9"/>
      <c r="F112" s="9"/>
      <c r="G112" s="9">
        <f t="shared" si="13"/>
        <v>100</v>
      </c>
    </row>
    <row r="113" spans="2:11" x14ac:dyDescent="0.25">
      <c r="B113" s="8" t="s">
        <v>158</v>
      </c>
      <c r="C113" s="9"/>
      <c r="D113" s="9"/>
      <c r="E113" s="9"/>
      <c r="F113" s="9"/>
      <c r="G113" s="9">
        <f t="shared" si="13"/>
        <v>0</v>
      </c>
    </row>
    <row r="114" spans="2:11" x14ac:dyDescent="0.25">
      <c r="B114" s="8" t="s">
        <v>98</v>
      </c>
      <c r="C114" s="71">
        <v>1200</v>
      </c>
      <c r="D114" s="9"/>
      <c r="E114" s="9"/>
      <c r="F114" s="9"/>
      <c r="G114" s="9">
        <f t="shared" si="13"/>
        <v>1200</v>
      </c>
    </row>
    <row r="115" spans="2:11" x14ac:dyDescent="0.25">
      <c r="B115" s="8" t="s">
        <v>99</v>
      </c>
      <c r="C115" s="71">
        <v>1000</v>
      </c>
      <c r="D115" s="9"/>
      <c r="E115" s="9"/>
      <c r="F115" s="9"/>
      <c r="G115" s="9">
        <f t="shared" si="13"/>
        <v>1000</v>
      </c>
    </row>
    <row r="116" spans="2:11" x14ac:dyDescent="0.25">
      <c r="B116" s="8" t="s">
        <v>100</v>
      </c>
      <c r="C116" s="71">
        <f>100-100</f>
        <v>0</v>
      </c>
      <c r="D116" s="9"/>
      <c r="E116" s="9"/>
      <c r="F116" s="9"/>
      <c r="G116" s="9">
        <f t="shared" si="13"/>
        <v>0</v>
      </c>
    </row>
    <row r="117" spans="2:11" x14ac:dyDescent="0.25">
      <c r="B117" s="8" t="s">
        <v>101</v>
      </c>
      <c r="C117" s="9">
        <v>200</v>
      </c>
      <c r="D117" s="9">
        <v>600</v>
      </c>
      <c r="E117" s="9"/>
      <c r="F117" s="9"/>
      <c r="G117" s="9">
        <f t="shared" si="13"/>
        <v>800</v>
      </c>
    </row>
    <row r="118" spans="2:11" x14ac:dyDescent="0.25">
      <c r="B118" s="8" t="s">
        <v>102</v>
      </c>
      <c r="C118" s="71">
        <v>100</v>
      </c>
      <c r="D118" s="9"/>
      <c r="E118" s="9"/>
      <c r="F118" s="9"/>
      <c r="G118" s="9">
        <f t="shared" si="13"/>
        <v>100</v>
      </c>
    </row>
    <row r="119" spans="2:11" x14ac:dyDescent="0.25">
      <c r="B119" s="8" t="s">
        <v>103</v>
      </c>
      <c r="C119" s="71">
        <v>1200</v>
      </c>
      <c r="D119" s="9"/>
      <c r="E119" s="9"/>
      <c r="F119" s="9"/>
      <c r="G119" s="9">
        <f t="shared" si="13"/>
        <v>1200</v>
      </c>
    </row>
    <row r="120" spans="2:11" x14ac:dyDescent="0.25">
      <c r="B120" s="8" t="s">
        <v>104</v>
      </c>
      <c r="C120" s="71">
        <v>3500</v>
      </c>
      <c r="D120" s="9"/>
      <c r="E120" s="9"/>
      <c r="F120" s="9"/>
      <c r="G120" s="9">
        <f t="shared" si="13"/>
        <v>3500</v>
      </c>
    </row>
    <row r="121" spans="2:11" x14ac:dyDescent="0.25">
      <c r="B121" s="23" t="s">
        <v>105</v>
      </c>
      <c r="C121" s="9">
        <v>2000</v>
      </c>
      <c r="D121" s="9"/>
      <c r="E121" s="9"/>
      <c r="F121" s="9"/>
      <c r="G121" s="9">
        <f t="shared" si="13"/>
        <v>2000</v>
      </c>
    </row>
    <row r="122" spans="2:11" x14ac:dyDescent="0.25">
      <c r="B122" s="8" t="s">
        <v>106</v>
      </c>
      <c r="C122" s="9">
        <f>900-300</f>
        <v>600</v>
      </c>
      <c r="D122" s="9"/>
      <c r="E122" s="9"/>
      <c r="F122" s="9"/>
      <c r="G122" s="9">
        <f t="shared" si="13"/>
        <v>600</v>
      </c>
    </row>
    <row r="123" spans="2:11" x14ac:dyDescent="0.25">
      <c r="B123" s="8" t="s">
        <v>107</v>
      </c>
      <c r="C123" s="9"/>
      <c r="D123" s="9">
        <v>1500</v>
      </c>
      <c r="E123" s="9"/>
      <c r="F123" s="9"/>
      <c r="G123" s="9">
        <f t="shared" si="13"/>
        <v>1500</v>
      </c>
      <c r="K123" s="55"/>
    </row>
    <row r="124" spans="2:11" ht="15.75" thickBot="1" x14ac:dyDescent="0.3">
      <c r="B124" s="12" t="s">
        <v>108</v>
      </c>
      <c r="C124" s="36">
        <f>800+100+300</f>
        <v>1200</v>
      </c>
      <c r="D124" s="1"/>
      <c r="E124" s="36"/>
      <c r="F124" s="36"/>
      <c r="G124" s="9">
        <f t="shared" si="13"/>
        <v>1200</v>
      </c>
    </row>
    <row r="125" spans="2:11" ht="15.75" thickBot="1" x14ac:dyDescent="0.3">
      <c r="B125" s="41" t="s">
        <v>109</v>
      </c>
      <c r="C125" s="45">
        <f>SUM(C126:C146)</f>
        <v>194411</v>
      </c>
      <c r="D125" s="45">
        <f t="shared" ref="D125" si="14">SUM(D126:D146)</f>
        <v>5020</v>
      </c>
      <c r="E125" s="45"/>
      <c r="F125" s="45"/>
      <c r="G125" s="45">
        <f>SUM(G126:G146)</f>
        <v>199431</v>
      </c>
      <c r="K125" s="55"/>
    </row>
    <row r="126" spans="2:11" x14ac:dyDescent="0.25">
      <c r="B126" s="6" t="s">
        <v>110</v>
      </c>
      <c r="C126" s="7">
        <v>8900</v>
      </c>
      <c r="D126" s="7">
        <v>150</v>
      </c>
      <c r="E126" s="7"/>
      <c r="F126" s="7"/>
      <c r="G126" s="9">
        <f>SUM(C126:E126)</f>
        <v>9050</v>
      </c>
    </row>
    <row r="127" spans="2:11" x14ac:dyDescent="0.25">
      <c r="B127" s="8" t="s">
        <v>111</v>
      </c>
      <c r="C127" s="71">
        <f>100-54</f>
        <v>46</v>
      </c>
      <c r="D127" s="9"/>
      <c r="E127" s="9"/>
      <c r="F127" s="9"/>
      <c r="G127" s="9">
        <f t="shared" ref="G127:G146" si="15">SUM(C127:E127)</f>
        <v>46</v>
      </c>
    </row>
    <row r="128" spans="2:11" x14ac:dyDescent="0.25">
      <c r="B128" s="8" t="s">
        <v>159</v>
      </c>
      <c r="C128" s="71">
        <v>1200</v>
      </c>
      <c r="D128" s="9"/>
      <c r="E128" s="9"/>
      <c r="F128" s="9"/>
      <c r="G128" s="9">
        <f t="shared" si="15"/>
        <v>1200</v>
      </c>
      <c r="J128" s="55"/>
    </row>
    <row r="129" spans="2:7" x14ac:dyDescent="0.25">
      <c r="B129" s="8" t="s">
        <v>112</v>
      </c>
      <c r="C129" s="71">
        <v>500</v>
      </c>
      <c r="D129" s="9"/>
      <c r="E129" s="9"/>
      <c r="F129" s="9"/>
      <c r="G129" s="9">
        <f t="shared" si="15"/>
        <v>500</v>
      </c>
    </row>
    <row r="130" spans="2:7" x14ac:dyDescent="0.25">
      <c r="B130" s="8" t="s">
        <v>113</v>
      </c>
      <c r="C130" s="9"/>
      <c r="D130" s="9">
        <v>20</v>
      </c>
      <c r="E130" s="9"/>
      <c r="F130" s="9"/>
      <c r="G130" s="9">
        <f t="shared" si="15"/>
        <v>20</v>
      </c>
    </row>
    <row r="131" spans="2:7" x14ac:dyDescent="0.25">
      <c r="B131" s="8" t="s">
        <v>114</v>
      </c>
      <c r="C131" s="9"/>
      <c r="D131" s="9">
        <v>200</v>
      </c>
      <c r="E131" s="9"/>
      <c r="F131" s="9"/>
      <c r="G131" s="9">
        <f t="shared" si="15"/>
        <v>200</v>
      </c>
    </row>
    <row r="132" spans="2:7" x14ac:dyDescent="0.25">
      <c r="B132" s="8" t="s">
        <v>115</v>
      </c>
      <c r="C132" s="9"/>
      <c r="D132" s="9">
        <v>650</v>
      </c>
      <c r="E132" s="9"/>
      <c r="F132" s="9"/>
      <c r="G132" s="9">
        <f t="shared" si="15"/>
        <v>650</v>
      </c>
    </row>
    <row r="133" spans="2:7" x14ac:dyDescent="0.25">
      <c r="B133" s="8" t="s">
        <v>116</v>
      </c>
      <c r="C133" s="71">
        <f>8500+1500+72+965-1000+723+2000</f>
        <v>12760</v>
      </c>
      <c r="D133" s="9">
        <v>100</v>
      </c>
      <c r="E133" s="9"/>
      <c r="F133" s="9"/>
      <c r="G133" s="9">
        <f t="shared" si="15"/>
        <v>12860</v>
      </c>
    </row>
    <row r="134" spans="2:7" x14ac:dyDescent="0.25">
      <c r="B134" s="8" t="s">
        <v>160</v>
      </c>
      <c r="C134" s="9">
        <v>750</v>
      </c>
      <c r="D134" s="9"/>
      <c r="E134" s="9"/>
      <c r="F134" s="9"/>
      <c r="G134" s="9">
        <f t="shared" si="15"/>
        <v>750</v>
      </c>
    </row>
    <row r="135" spans="2:7" x14ac:dyDescent="0.25">
      <c r="B135" s="8" t="s">
        <v>117</v>
      </c>
      <c r="C135" s="9">
        <v>1000</v>
      </c>
      <c r="D135" s="9"/>
      <c r="E135" s="9"/>
      <c r="F135" s="9"/>
      <c r="G135" s="9">
        <f t="shared" si="15"/>
        <v>1000</v>
      </c>
    </row>
    <row r="136" spans="2:7" x14ac:dyDescent="0.25">
      <c r="B136" s="23" t="s">
        <v>118</v>
      </c>
      <c r="C136" s="71">
        <f>21800+5000+4714</f>
        <v>31514</v>
      </c>
      <c r="D136" s="9">
        <v>900</v>
      </c>
      <c r="E136" s="9"/>
      <c r="F136" s="9"/>
      <c r="G136" s="9">
        <f t="shared" si="15"/>
        <v>32414</v>
      </c>
    </row>
    <row r="137" spans="2:7" x14ac:dyDescent="0.25">
      <c r="B137" s="8" t="s">
        <v>119</v>
      </c>
      <c r="C137" s="65">
        <f>53648</f>
        <v>53648</v>
      </c>
      <c r="D137" s="9">
        <f>1000-200-200</f>
        <v>600</v>
      </c>
      <c r="E137" s="65"/>
      <c r="F137" s="65"/>
      <c r="G137" s="9">
        <f t="shared" si="15"/>
        <v>54248</v>
      </c>
    </row>
    <row r="138" spans="2:7" x14ac:dyDescent="0.25">
      <c r="B138" s="8" t="s">
        <v>155</v>
      </c>
      <c r="C138" s="65">
        <f>33077+3200+25000+10916</f>
        <v>72193</v>
      </c>
      <c r="D138" s="9">
        <v>500</v>
      </c>
      <c r="E138" s="9"/>
      <c r="F138" s="9"/>
      <c r="G138" s="9">
        <f t="shared" si="15"/>
        <v>72693</v>
      </c>
    </row>
    <row r="139" spans="2:7" x14ac:dyDescent="0.25">
      <c r="B139" s="8" t="s">
        <v>120</v>
      </c>
      <c r="C139" s="88">
        <f>1200-450</f>
        <v>750</v>
      </c>
      <c r="D139" s="82">
        <v>900</v>
      </c>
      <c r="E139" s="13"/>
      <c r="F139" s="13"/>
      <c r="G139" s="9">
        <f t="shared" si="15"/>
        <v>1650</v>
      </c>
    </row>
    <row r="140" spans="2:7" x14ac:dyDescent="0.25">
      <c r="B140" s="8" t="s">
        <v>121</v>
      </c>
      <c r="C140" s="65">
        <v>4600</v>
      </c>
      <c r="D140" s="9"/>
      <c r="E140" s="9"/>
      <c r="F140" s="9"/>
      <c r="G140" s="9">
        <f t="shared" si="15"/>
        <v>4600</v>
      </c>
    </row>
    <row r="141" spans="2:7" x14ac:dyDescent="0.25">
      <c r="B141" s="8" t="s">
        <v>122</v>
      </c>
      <c r="C141" s="9">
        <f>1800-600+400-400</f>
        <v>1200</v>
      </c>
      <c r="D141" s="9"/>
      <c r="E141" s="9"/>
      <c r="F141" s="9"/>
      <c r="G141" s="9">
        <f t="shared" si="15"/>
        <v>1200</v>
      </c>
    </row>
    <row r="142" spans="2:7" x14ac:dyDescent="0.25">
      <c r="B142" s="8" t="s">
        <v>161</v>
      </c>
      <c r="C142" s="9">
        <v>50</v>
      </c>
      <c r="D142" s="9"/>
      <c r="E142" s="9"/>
      <c r="F142" s="9"/>
      <c r="G142" s="9">
        <f t="shared" si="15"/>
        <v>50</v>
      </c>
    </row>
    <row r="143" spans="2:7" x14ac:dyDescent="0.25">
      <c r="B143" s="8" t="s">
        <v>123</v>
      </c>
      <c r="C143" s="9">
        <v>1200</v>
      </c>
      <c r="D143" s="9">
        <v>100</v>
      </c>
      <c r="E143" s="9"/>
      <c r="F143" s="9"/>
      <c r="G143" s="9">
        <f t="shared" si="15"/>
        <v>1300</v>
      </c>
    </row>
    <row r="144" spans="2:7" x14ac:dyDescent="0.25">
      <c r="B144" s="8" t="s">
        <v>124</v>
      </c>
      <c r="C144" s="9">
        <v>1500</v>
      </c>
      <c r="D144" s="9"/>
      <c r="E144" s="9"/>
      <c r="F144" s="9"/>
      <c r="G144" s="9">
        <f t="shared" si="15"/>
        <v>1500</v>
      </c>
    </row>
    <row r="145" spans="2:7" x14ac:dyDescent="0.25">
      <c r="B145" s="8" t="s">
        <v>125</v>
      </c>
      <c r="C145" s="65">
        <v>2600</v>
      </c>
      <c r="D145" s="9">
        <v>100</v>
      </c>
      <c r="E145" s="9"/>
      <c r="F145" s="9"/>
      <c r="G145" s="9">
        <f>SUM(C145:E145)</f>
        <v>2700</v>
      </c>
    </row>
    <row r="146" spans="2:7" ht="15.75" thickBot="1" x14ac:dyDescent="0.3">
      <c r="B146" s="17" t="s">
        <v>126</v>
      </c>
      <c r="C146" s="1"/>
      <c r="D146" s="1">
        <v>800</v>
      </c>
      <c r="E146" s="1"/>
      <c r="F146" s="1"/>
      <c r="G146" s="9">
        <f t="shared" si="15"/>
        <v>800</v>
      </c>
    </row>
    <row r="147" spans="2:7" ht="15.75" thickBot="1" x14ac:dyDescent="0.3">
      <c r="B147" s="46" t="s">
        <v>149</v>
      </c>
      <c r="C147" s="87"/>
      <c r="D147" s="91">
        <v>1985</v>
      </c>
      <c r="E147" s="44"/>
      <c r="F147" s="70"/>
      <c r="G147" s="70">
        <f>SUM(C147:E147)</f>
        <v>1985</v>
      </c>
    </row>
    <row r="148" spans="2:7" ht="15.75" thickBot="1" x14ac:dyDescent="0.3">
      <c r="B148" s="51" t="s">
        <v>127</v>
      </c>
      <c r="C148" s="44"/>
      <c r="D148" s="92">
        <v>2000</v>
      </c>
      <c r="E148" s="93"/>
      <c r="F148" s="93"/>
      <c r="G148" s="70">
        <f t="shared" ref="G148" si="16">SUM(C148:E148)</f>
        <v>2000</v>
      </c>
    </row>
    <row r="149" spans="2:7" ht="15.75" thickBot="1" x14ac:dyDescent="0.3">
      <c r="B149" s="47" t="s">
        <v>148</v>
      </c>
      <c r="C149" s="64">
        <f>SUM(C150:C153)</f>
        <v>1900</v>
      </c>
      <c r="D149" s="79">
        <f>SUM(D150:D153)</f>
        <v>900</v>
      </c>
      <c r="E149" s="78"/>
      <c r="F149" s="93"/>
      <c r="G149" s="70">
        <f>SUM(G150:G153)</f>
        <v>2800</v>
      </c>
    </row>
    <row r="150" spans="2:7" x14ac:dyDescent="0.25">
      <c r="B150" s="6" t="s">
        <v>128</v>
      </c>
      <c r="C150" s="7">
        <v>1700</v>
      </c>
      <c r="D150" s="7"/>
      <c r="E150" s="7"/>
      <c r="F150" s="7"/>
      <c r="G150" s="9">
        <f>SUM(C150:D150)</f>
        <v>1700</v>
      </c>
    </row>
    <row r="151" spans="2:7" x14ac:dyDescent="0.25">
      <c r="B151" s="8" t="s">
        <v>129</v>
      </c>
      <c r="C151" s="9"/>
      <c r="D151" s="9">
        <v>400</v>
      </c>
      <c r="E151" s="9"/>
      <c r="F151" s="9"/>
      <c r="G151" s="9">
        <f>SUM(C151:E151)</f>
        <v>400</v>
      </c>
    </row>
    <row r="152" spans="2:7" x14ac:dyDescent="0.25">
      <c r="B152" s="12" t="s">
        <v>130</v>
      </c>
      <c r="C152" s="9">
        <v>200</v>
      </c>
      <c r="D152" s="9">
        <f>300+100</f>
        <v>400</v>
      </c>
      <c r="E152" s="9"/>
      <c r="F152" s="9"/>
      <c r="G152" s="9">
        <f t="shared" ref="G152:G153" si="17">SUM(C152:D152)</f>
        <v>600</v>
      </c>
    </row>
    <row r="153" spans="2:7" ht="15.75" thickBot="1" x14ac:dyDescent="0.3">
      <c r="B153" s="18" t="s">
        <v>131</v>
      </c>
      <c r="C153" s="1"/>
      <c r="D153" s="1">
        <v>100</v>
      </c>
      <c r="E153" s="1"/>
      <c r="F153" s="1"/>
      <c r="G153" s="9">
        <f t="shared" si="17"/>
        <v>100</v>
      </c>
    </row>
    <row r="154" spans="2:7" ht="15.75" thickBot="1" x14ac:dyDescent="0.3">
      <c r="B154" s="49" t="s">
        <v>147</v>
      </c>
      <c r="C154" s="42"/>
      <c r="D154" s="43">
        <f>1000-100+100</f>
        <v>1000</v>
      </c>
      <c r="E154" s="77"/>
      <c r="F154" s="97"/>
      <c r="G154" s="44">
        <f>SUM(C154:D154)</f>
        <v>1000</v>
      </c>
    </row>
    <row r="155" spans="2:7" ht="15.75" thickBot="1" x14ac:dyDescent="0.3">
      <c r="B155" s="41" t="s">
        <v>132</v>
      </c>
      <c r="C155" s="42"/>
      <c r="D155" s="43">
        <v>700</v>
      </c>
      <c r="E155" s="77"/>
      <c r="F155" s="97"/>
      <c r="G155" s="44">
        <f>SUM(C155:D155)</f>
        <v>700</v>
      </c>
    </row>
    <row r="156" spans="2:7" ht="16.5" thickBot="1" x14ac:dyDescent="0.3">
      <c r="B156" s="29" t="s">
        <v>133</v>
      </c>
      <c r="C156" s="30">
        <f>SUM(C20,C21,C22,C30,C33,C58,C68,C93,C100,C125,C147,C148,C149,C154,C155,C23)</f>
        <v>2692153</v>
      </c>
      <c r="D156" s="30">
        <f t="shared" ref="D156:F156" si="18">SUM(D20,D21,D22,D30,D33,D58,D68,D93,D100,D125,D147,D148,D149,D154,D155,D23)</f>
        <v>68555</v>
      </c>
      <c r="E156" s="30">
        <f t="shared" si="18"/>
        <v>40</v>
      </c>
      <c r="F156" s="30">
        <f t="shared" si="18"/>
        <v>0</v>
      </c>
      <c r="G156" s="30">
        <f>SUM(G20,G21,G22,G23,G30,G33,G58,G68,G93,G100,G125,G147,G148,G149,G154,G155)</f>
        <v>2760748</v>
      </c>
    </row>
    <row r="157" spans="2:7" x14ac:dyDescent="0.25">
      <c r="B157" s="19" t="s">
        <v>163</v>
      </c>
      <c r="C157" s="20"/>
      <c r="D157" s="9"/>
      <c r="E157" s="75"/>
      <c r="F157" s="75"/>
      <c r="G157" s="2">
        <f>SUM(C157:F157)</f>
        <v>0</v>
      </c>
    </row>
    <row r="158" spans="2:7" x14ac:dyDescent="0.25">
      <c r="B158" s="19" t="s">
        <v>134</v>
      </c>
      <c r="C158" s="20"/>
      <c r="D158" s="9"/>
      <c r="E158" s="75"/>
      <c r="F158" s="98">
        <v>2797</v>
      </c>
      <c r="G158" s="2">
        <f t="shared" ref="G158:G171" si="19">SUM(C158:F158)</f>
        <v>2797</v>
      </c>
    </row>
    <row r="159" spans="2:7" x14ac:dyDescent="0.25">
      <c r="B159" s="19" t="s">
        <v>153</v>
      </c>
      <c r="C159" s="20"/>
      <c r="D159" s="9"/>
      <c r="E159" s="75"/>
      <c r="F159" s="75"/>
      <c r="G159" s="2">
        <f t="shared" si="19"/>
        <v>0</v>
      </c>
    </row>
    <row r="160" spans="2:7" x14ac:dyDescent="0.25">
      <c r="B160" s="21" t="s">
        <v>135</v>
      </c>
      <c r="C160" s="20"/>
      <c r="D160" s="9"/>
      <c r="E160" s="75"/>
      <c r="F160" s="75"/>
      <c r="G160" s="2">
        <f t="shared" si="19"/>
        <v>0</v>
      </c>
    </row>
    <row r="161" spans="1:11" x14ac:dyDescent="0.25">
      <c r="B161" s="21" t="s">
        <v>170</v>
      </c>
      <c r="C161" s="20"/>
      <c r="D161" s="9"/>
      <c r="E161" s="75"/>
      <c r="F161" s="75"/>
      <c r="G161" s="2">
        <f t="shared" si="19"/>
        <v>0</v>
      </c>
    </row>
    <row r="162" spans="1:11" x14ac:dyDescent="0.25">
      <c r="B162" s="21" t="s">
        <v>181</v>
      </c>
      <c r="C162" s="20"/>
      <c r="D162" s="9"/>
      <c r="E162" s="75"/>
      <c r="F162" s="75"/>
      <c r="G162" s="2">
        <f t="shared" si="19"/>
        <v>0</v>
      </c>
    </row>
    <row r="163" spans="1:11" x14ac:dyDescent="0.25">
      <c r="B163" s="21" t="s">
        <v>137</v>
      </c>
      <c r="C163" s="20"/>
      <c r="D163" s="9">
        <v>150</v>
      </c>
      <c r="E163" s="75"/>
      <c r="F163" s="75"/>
      <c r="G163" s="2">
        <f t="shared" si="19"/>
        <v>150</v>
      </c>
    </row>
    <row r="164" spans="1:11" x14ac:dyDescent="0.25">
      <c r="B164" s="19" t="s">
        <v>138</v>
      </c>
      <c r="C164" s="20"/>
      <c r="D164" s="9">
        <v>400</v>
      </c>
      <c r="E164" s="75"/>
      <c r="F164" s="75"/>
      <c r="G164" s="2">
        <f t="shared" si="19"/>
        <v>400</v>
      </c>
    </row>
    <row r="165" spans="1:11" x14ac:dyDescent="0.25">
      <c r="B165" s="21" t="s">
        <v>139</v>
      </c>
      <c r="C165" s="20"/>
      <c r="D165" s="9">
        <v>1200</v>
      </c>
      <c r="E165" s="75"/>
      <c r="F165" s="75"/>
      <c r="G165" s="2">
        <f t="shared" si="19"/>
        <v>1200</v>
      </c>
      <c r="J165" s="55"/>
    </row>
    <row r="166" spans="1:11" x14ac:dyDescent="0.25">
      <c r="B166" s="21" t="s">
        <v>171</v>
      </c>
      <c r="C166" s="20"/>
      <c r="D166" s="9">
        <v>50</v>
      </c>
      <c r="E166" s="75"/>
      <c r="F166" s="75"/>
      <c r="G166" s="2">
        <f t="shared" si="19"/>
        <v>50</v>
      </c>
    </row>
    <row r="167" spans="1:11" x14ac:dyDescent="0.25">
      <c r="B167" s="19" t="s">
        <v>140</v>
      </c>
      <c r="C167" s="20"/>
      <c r="D167" s="9">
        <v>500</v>
      </c>
      <c r="E167" s="75"/>
      <c r="F167" s="75"/>
      <c r="G167" s="2">
        <f t="shared" si="19"/>
        <v>500</v>
      </c>
    </row>
    <row r="168" spans="1:11" x14ac:dyDescent="0.25">
      <c r="B168" s="22" t="s">
        <v>141</v>
      </c>
      <c r="C168" s="20"/>
      <c r="D168" s="9">
        <v>700</v>
      </c>
      <c r="E168" s="75">
        <v>14708</v>
      </c>
      <c r="F168" s="75"/>
      <c r="G168" s="2">
        <f t="shared" si="19"/>
        <v>15408</v>
      </c>
    </row>
    <row r="169" spans="1:11" x14ac:dyDescent="0.25">
      <c r="B169" s="19" t="s">
        <v>142</v>
      </c>
      <c r="C169" s="20"/>
      <c r="D169" s="9">
        <v>0</v>
      </c>
      <c r="E169" s="75"/>
      <c r="F169" s="75"/>
      <c r="G169" s="2">
        <f t="shared" si="19"/>
        <v>0</v>
      </c>
    </row>
    <row r="170" spans="1:11" x14ac:dyDescent="0.25">
      <c r="B170" s="19" t="s">
        <v>165</v>
      </c>
      <c r="C170" s="20"/>
      <c r="D170" s="9">
        <f>200-100</f>
        <v>100</v>
      </c>
      <c r="E170" s="75"/>
      <c r="F170" s="75"/>
      <c r="G170" s="2">
        <f t="shared" si="19"/>
        <v>100</v>
      </c>
    </row>
    <row r="171" spans="1:11" ht="15.75" thickBot="1" x14ac:dyDescent="0.3">
      <c r="B171" s="19" t="s">
        <v>143</v>
      </c>
      <c r="C171" s="20"/>
      <c r="D171" s="9">
        <v>50</v>
      </c>
      <c r="E171" s="75"/>
      <c r="F171" s="75"/>
      <c r="G171" s="2">
        <f t="shared" si="19"/>
        <v>50</v>
      </c>
    </row>
    <row r="172" spans="1:11" ht="13.5" customHeight="1" thickBot="1" x14ac:dyDescent="0.3">
      <c r="B172" s="29" t="s">
        <v>144</v>
      </c>
      <c r="C172" s="30">
        <f t="shared" ref="C172:G172" si="20">SUM(C157:C171)</f>
        <v>0</v>
      </c>
      <c r="D172" s="30">
        <f>SUM(D157:D171)</f>
        <v>3150</v>
      </c>
      <c r="E172" s="30">
        <f t="shared" si="20"/>
        <v>14708</v>
      </c>
      <c r="F172" s="30">
        <f t="shared" si="20"/>
        <v>2797</v>
      </c>
      <c r="G172" s="30">
        <f t="shared" si="20"/>
        <v>20655</v>
      </c>
    </row>
    <row r="173" spans="1:11" ht="16.5" customHeight="1" thickBot="1" x14ac:dyDescent="0.3">
      <c r="B173" s="34" t="s">
        <v>145</v>
      </c>
      <c r="C173" s="35">
        <f t="shared" ref="C173:F173" si="21">C156+C172</f>
        <v>2692153</v>
      </c>
      <c r="D173" s="35">
        <f t="shared" si="21"/>
        <v>71705</v>
      </c>
      <c r="E173" s="35">
        <f t="shared" si="21"/>
        <v>14748</v>
      </c>
      <c r="F173" s="35">
        <f t="shared" si="21"/>
        <v>2797</v>
      </c>
      <c r="G173" s="35">
        <f>G156+G172</f>
        <v>2781403</v>
      </c>
      <c r="K173" s="55"/>
    </row>
    <row r="174" spans="1:11" ht="142.5" customHeight="1" x14ac:dyDescent="0.25">
      <c r="A174" s="81"/>
      <c r="B174" s="140" t="s">
        <v>187</v>
      </c>
      <c r="C174" s="140"/>
      <c r="D174" s="140"/>
      <c r="E174" s="140"/>
      <c r="F174" s="140"/>
      <c r="G174" s="140"/>
    </row>
    <row r="175" spans="1:11" ht="15" customHeight="1" x14ac:dyDescent="0.25">
      <c r="D175" s="141" t="s">
        <v>174</v>
      </c>
      <c r="E175" s="141"/>
      <c r="F175" s="141"/>
      <c r="G175" s="141"/>
    </row>
    <row r="176" spans="1:11" ht="1.5" hidden="1" customHeight="1" x14ac:dyDescent="0.25">
      <c r="D176" s="141" t="s">
        <v>175</v>
      </c>
      <c r="E176" s="141"/>
      <c r="F176" s="141"/>
      <c r="G176" s="141"/>
    </row>
    <row r="177" spans="3:7" hidden="1" x14ac:dyDescent="0.25">
      <c r="C177" s="55"/>
      <c r="D177" s="141"/>
      <c r="E177" s="141"/>
      <c r="F177" s="141"/>
      <c r="G177" s="141"/>
    </row>
  </sheetData>
  <mergeCells count="5">
    <mergeCell ref="B2:G2"/>
    <mergeCell ref="B3:G3"/>
    <mergeCell ref="B174:G174"/>
    <mergeCell ref="D175:G175"/>
    <mergeCell ref="D176:G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45" zoomScale="120" zoomScaleNormal="120" workbookViewId="0">
      <selection activeCell="G6" sqref="G6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217</v>
      </c>
      <c r="B3" s="143"/>
      <c r="C3" s="143"/>
    </row>
    <row r="4" spans="1:3" ht="15.75" thickBot="1" x14ac:dyDescent="0.3">
      <c r="A4" s="58"/>
      <c r="B4" s="5" t="s">
        <v>1</v>
      </c>
      <c r="C4" s="120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10250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3185930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104855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300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12767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34920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9550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216407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3085316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25748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100614</v>
      </c>
      <c r="C171" s="60"/>
    </row>
    <row r="172" spans="1:3" ht="16.5" thickBot="1" x14ac:dyDescent="0.3">
      <c r="A172" s="34" t="s">
        <v>145</v>
      </c>
      <c r="B172" s="35">
        <v>3185930</v>
      </c>
      <c r="C172" s="61"/>
    </row>
    <row r="173" spans="1:3" x14ac:dyDescent="0.25">
      <c r="B173" s="141" t="s">
        <v>174</v>
      </c>
      <c r="C173" s="141"/>
    </row>
    <row r="174" spans="1:3" x14ac:dyDescent="0.25">
      <c r="B174" s="141" t="s">
        <v>176</v>
      </c>
      <c r="C174" s="141"/>
    </row>
    <row r="175" spans="1:3" x14ac:dyDescent="0.25">
      <c r="B175" s="141"/>
      <c r="C175" s="14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0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219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3500+1550+2200</f>
        <v>7250</v>
      </c>
      <c r="D10" s="9">
        <v>5200</v>
      </c>
      <c r="E10" s="63"/>
      <c r="F10" s="63"/>
      <c r="G10" s="107"/>
      <c r="H10" s="63"/>
      <c r="I10" s="63"/>
      <c r="J10" s="2">
        <f t="shared" si="0"/>
        <v>12450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3188130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</f>
        <v>1700</v>
      </c>
      <c r="E42" s="71"/>
      <c r="F42" s="71"/>
      <c r="G42" s="71"/>
      <c r="H42" s="9"/>
      <c r="I42" s="9"/>
      <c r="J42" s="9">
        <f t="shared" si="6"/>
        <v>8200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12966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</f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500+150+200</f>
        <v>850</v>
      </c>
      <c r="D96" s="9">
        <v>2100</v>
      </c>
      <c r="E96" s="63"/>
      <c r="F96" s="63"/>
      <c r="G96" s="107">
        <f>1101-54-1</f>
        <v>1046</v>
      </c>
      <c r="H96" s="63"/>
      <c r="I96" s="63"/>
      <c r="J96" s="9">
        <f t="shared" si="13"/>
        <v>3996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I99" si="14">SUM(D100:D123)</f>
        <v>4170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ref="J99" si="15">SUM(J100:J123)</f>
        <v>37051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6">SUM(C101:H101)</f>
        <v>200</v>
      </c>
    </row>
    <row r="102" spans="2:10" x14ac:dyDescent="0.25">
      <c r="B102" s="8" t="s">
        <v>146</v>
      </c>
      <c r="C102" s="110">
        <f>1200+100+60</f>
        <v>1360</v>
      </c>
      <c r="D102" s="9"/>
      <c r="E102" s="9"/>
      <c r="F102" s="9"/>
      <c r="G102" s="9"/>
      <c r="H102" s="9"/>
      <c r="I102" s="9"/>
      <c r="J102" s="9">
        <f t="shared" si="16"/>
        <v>1360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6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6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6"/>
        <v>400</v>
      </c>
    </row>
    <row r="106" spans="2:10" x14ac:dyDescent="0.25">
      <c r="B106" s="8" t="s">
        <v>93</v>
      </c>
      <c r="C106" s="110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6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6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6"/>
        <v>3100</v>
      </c>
    </row>
    <row r="109" spans="2:10" x14ac:dyDescent="0.25">
      <c r="B109" s="8" t="s">
        <v>95</v>
      </c>
      <c r="C109" s="110">
        <f>1200-600+600-800+100</f>
        <v>500</v>
      </c>
      <c r="D109" s="9"/>
      <c r="E109" s="9"/>
      <c r="F109" s="9"/>
      <c r="G109" s="9"/>
      <c r="H109" s="9"/>
      <c r="I109" s="9"/>
      <c r="J109" s="9">
        <f t="shared" si="16"/>
        <v>500</v>
      </c>
    </row>
    <row r="110" spans="2:10" x14ac:dyDescent="0.25">
      <c r="B110" s="8" t="s">
        <v>96</v>
      </c>
      <c r="C110" s="112">
        <f>8000+1550+1800</f>
        <v>11350</v>
      </c>
      <c r="D110" s="9"/>
      <c r="E110" s="9"/>
      <c r="F110" s="9"/>
      <c r="G110" s="9"/>
      <c r="H110" s="9"/>
      <c r="I110" s="9"/>
      <c r="J110" s="9">
        <f t="shared" si="16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6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6"/>
        <v>0</v>
      </c>
    </row>
    <row r="113" spans="2:14" x14ac:dyDescent="0.25">
      <c r="B113" s="8" t="s">
        <v>98</v>
      </c>
      <c r="C113" s="110">
        <f>1200+130</f>
        <v>1330</v>
      </c>
      <c r="D113" s="9"/>
      <c r="E113" s="9"/>
      <c r="F113" s="9"/>
      <c r="G113" s="9"/>
      <c r="H113" s="9"/>
      <c r="I113" s="9"/>
      <c r="J113" s="9">
        <f t="shared" si="16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6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6"/>
        <v>0</v>
      </c>
    </row>
    <row r="116" spans="2:14" x14ac:dyDescent="0.25">
      <c r="B116" s="8" t="s">
        <v>101</v>
      </c>
      <c r="C116" s="103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6"/>
        <v>1911</v>
      </c>
    </row>
    <row r="117" spans="2:14" x14ac:dyDescent="0.25">
      <c r="B117" s="8" t="s">
        <v>102</v>
      </c>
      <c r="C117" s="110">
        <f>100-80</f>
        <v>20</v>
      </c>
      <c r="D117" s="9"/>
      <c r="E117" s="9"/>
      <c r="F117" s="9"/>
      <c r="G117" s="9"/>
      <c r="H117" s="9"/>
      <c r="I117" s="9"/>
      <c r="J117" s="9">
        <f t="shared" si="16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6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103">
        <v>1</v>
      </c>
      <c r="H119" s="9"/>
      <c r="I119" s="9"/>
      <c r="J119" s="9">
        <f t="shared" si="16"/>
        <v>3901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6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6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6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6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7">SUM(D125:D145)</f>
        <v>5850</v>
      </c>
      <c r="E124" s="45">
        <f t="shared" si="17"/>
        <v>0</v>
      </c>
      <c r="F124" s="45">
        <f t="shared" si="17"/>
        <v>489</v>
      </c>
      <c r="G124" s="45">
        <f t="shared" si="17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106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8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8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8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8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8"/>
        <v>200</v>
      </c>
    </row>
    <row r="131" spans="2:12" x14ac:dyDescent="0.25">
      <c r="B131" s="8" t="s">
        <v>115</v>
      </c>
      <c r="C131" s="9"/>
      <c r="D131" s="103">
        <f>650+50</f>
        <v>700</v>
      </c>
      <c r="E131" s="9"/>
      <c r="F131" s="9"/>
      <c r="G131" s="9"/>
      <c r="H131" s="9"/>
      <c r="I131" s="9"/>
      <c r="J131" s="9">
        <f t="shared" si="18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8"/>
        <v>12787</v>
      </c>
    </row>
    <row r="133" spans="2:12" x14ac:dyDescent="0.25">
      <c r="B133" s="8" t="s">
        <v>160</v>
      </c>
      <c r="C133" s="103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8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8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8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8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8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8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8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8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8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8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8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8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9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103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103">
        <f>200-180</f>
        <v>20</v>
      </c>
      <c r="D151" s="103">
        <f>300+100-100</f>
        <v>300</v>
      </c>
      <c r="E151" s="9"/>
      <c r="F151" s="9"/>
      <c r="G151" s="9"/>
      <c r="H151" s="9"/>
      <c r="I151" s="9"/>
      <c r="J151" s="9">
        <f t="shared" ref="J151:J152" si="20">SUM(C151:D151)</f>
        <v>320</v>
      </c>
    </row>
    <row r="152" spans="2:10" ht="15.75" thickBot="1" x14ac:dyDescent="0.3">
      <c r="B152" s="18" t="s">
        <v>131</v>
      </c>
      <c r="C152" s="1"/>
      <c r="D152" s="105">
        <f>300+300</f>
        <v>600</v>
      </c>
      <c r="E152" s="1"/>
      <c r="F152" s="1"/>
      <c r="G152" s="1"/>
      <c r="H152" s="1"/>
      <c r="I152" s="1"/>
      <c r="J152" s="9">
        <f t="shared" si="20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68500</v>
      </c>
      <c r="E155" s="30">
        <f t="shared" ref="E155:I155" si="21">SUM(E19,E20,E21,E29,E32,E57,E67,E92,E99,E124,E146,E147,E148,E153,E154,E22)</f>
        <v>2370</v>
      </c>
      <c r="F155" s="30">
        <f t="shared" si="21"/>
        <v>13337</v>
      </c>
      <c r="G155" s="30">
        <f t="shared" si="21"/>
        <v>5527</v>
      </c>
      <c r="H155" s="30">
        <f t="shared" si="21"/>
        <v>0</v>
      </c>
      <c r="I155" s="30">
        <f t="shared" si="21"/>
        <v>0</v>
      </c>
      <c r="J155" s="30">
        <f>SUM(J19,J20,J21,J22,J29,J32,J57,J67,J92,J99,J124,J146,J147,J148,J153,J154)</f>
        <v>3087516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61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>SUM(C162:I162)</f>
        <v>28000</v>
      </c>
    </row>
    <row r="163" spans="1:14" x14ac:dyDescent="0.25">
      <c r="B163" s="21" t="s">
        <v>220</v>
      </c>
      <c r="C163" s="20"/>
      <c r="D163" s="9"/>
      <c r="E163" s="63"/>
      <c r="F163" s="63"/>
      <c r="G163" s="107">
        <f>600+600</f>
        <v>1200</v>
      </c>
      <c r="H163" s="75"/>
      <c r="I163" s="75"/>
      <c r="J163" s="2">
        <f t="shared" ref="J163:J172" si="23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f>19000-12588</f>
        <v>6412</v>
      </c>
      <c r="G164" s="63">
        <v>100</v>
      </c>
      <c r="H164" s="75"/>
      <c r="I164" s="75"/>
      <c r="J164" s="2">
        <f t="shared" si="23"/>
        <v>6512</v>
      </c>
    </row>
    <row r="165" spans="1:14" x14ac:dyDescent="0.25">
      <c r="B165" s="21" t="s">
        <v>139</v>
      </c>
      <c r="C165" s="20"/>
      <c r="D165" s="9"/>
      <c r="E165" s="63"/>
      <c r="F165" s="63"/>
      <c r="G165" s="107">
        <f>1200-600</f>
        <v>600</v>
      </c>
      <c r="H165" s="75"/>
      <c r="I165" s="75"/>
      <c r="J165" s="2">
        <f t="shared" si="23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3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107">
        <f>1200-600</f>
        <v>600</v>
      </c>
      <c r="H167" s="75"/>
      <c r="I167" s="75"/>
      <c r="J167" s="2">
        <f t="shared" si="23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10000</v>
      </c>
      <c r="G168" s="63">
        <v>500</v>
      </c>
      <c r="H168" s="75">
        <f>14708+40</f>
        <v>14748</v>
      </c>
      <c r="I168" s="75"/>
      <c r="J168" s="2">
        <f t="shared" si="23"/>
        <v>25748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3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3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3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118">
        <v>12588</v>
      </c>
      <c r="G172" s="37"/>
      <c r="H172" s="127"/>
      <c r="I172" s="127"/>
      <c r="J172" s="2">
        <f t="shared" si="23"/>
        <v>12588</v>
      </c>
    </row>
    <row r="173" spans="1:14" ht="13.5" customHeight="1" thickBot="1" x14ac:dyDescent="0.3">
      <c r="B173" s="29" t="s">
        <v>144</v>
      </c>
      <c r="C173" s="30">
        <f t="shared" ref="C173:E173" si="24">SUM(C156:C172)</f>
        <v>0</v>
      </c>
      <c r="D173" s="30">
        <f t="shared" si="24"/>
        <v>850</v>
      </c>
      <c r="E173" s="30">
        <f t="shared" si="24"/>
        <v>0</v>
      </c>
      <c r="F173" s="30">
        <f>SUM(F156:F172)</f>
        <v>78500</v>
      </c>
      <c r="G173" s="30">
        <f t="shared" ref="G173:J173" si="25">SUM(G156:G172)</f>
        <v>3719</v>
      </c>
      <c r="H173" s="30">
        <f t="shared" si="25"/>
        <v>14748</v>
      </c>
      <c r="I173" s="30">
        <f t="shared" si="25"/>
        <v>2797</v>
      </c>
      <c r="J173" s="30">
        <f t="shared" si="25"/>
        <v>100614</v>
      </c>
    </row>
    <row r="174" spans="1:14" ht="16.5" customHeight="1" thickBot="1" x14ac:dyDescent="0.3">
      <c r="B174" s="34" t="s">
        <v>145</v>
      </c>
      <c r="C174" s="35">
        <f t="shared" ref="C174:I174" si="26">C155+C173</f>
        <v>2997782</v>
      </c>
      <c r="D174" s="35">
        <f>D155+D173</f>
        <v>69350</v>
      </c>
      <c r="E174" s="35">
        <f>E155+E173</f>
        <v>2370</v>
      </c>
      <c r="F174" s="35">
        <f>F155+F173</f>
        <v>91837</v>
      </c>
      <c r="G174" s="35">
        <f t="shared" si="26"/>
        <v>9246</v>
      </c>
      <c r="H174" s="35">
        <f t="shared" si="26"/>
        <v>14748</v>
      </c>
      <c r="I174" s="35">
        <f t="shared" si="26"/>
        <v>2797</v>
      </c>
      <c r="J174" s="35">
        <f>J155+J173</f>
        <v>3188130</v>
      </c>
      <c r="N174" s="55"/>
    </row>
    <row r="175" spans="1:14" ht="47.25" customHeight="1" x14ac:dyDescent="0.25">
      <c r="A175" s="81"/>
      <c r="B175" s="140" t="s">
        <v>222</v>
      </c>
      <c r="C175" s="140"/>
      <c r="D175" s="140"/>
      <c r="E175" s="140"/>
      <c r="F175" s="140"/>
      <c r="G175" s="140"/>
      <c r="H175" s="140"/>
      <c r="I175" s="140"/>
      <c r="J175" s="140"/>
    </row>
    <row r="176" spans="1:14" ht="15" customHeight="1" x14ac:dyDescent="0.25">
      <c r="D176" s="141" t="s">
        <v>174</v>
      </c>
      <c r="E176" s="141"/>
      <c r="F176" s="141"/>
      <c r="G176" s="141"/>
      <c r="H176" s="141"/>
      <c r="I176" s="141"/>
      <c r="J176" s="141"/>
    </row>
    <row r="177" spans="3:10" ht="1.5" hidden="1" customHeight="1" x14ac:dyDescent="0.25">
      <c r="D177" s="141" t="s">
        <v>175</v>
      </c>
      <c r="E177" s="141"/>
      <c r="F177" s="141"/>
      <c r="G177" s="141"/>
      <c r="H177" s="141"/>
      <c r="I177" s="141"/>
      <c r="J177" s="141"/>
    </row>
    <row r="178" spans="3:10" hidden="1" x14ac:dyDescent="0.25">
      <c r="C178" s="55"/>
      <c r="D178" s="141"/>
      <c r="E178" s="141"/>
      <c r="F178" s="141"/>
      <c r="G178" s="141"/>
      <c r="H178" s="141"/>
      <c r="I178" s="141"/>
      <c r="J178" s="14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63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219</v>
      </c>
      <c r="B3" s="143"/>
      <c r="C3" s="143"/>
    </row>
    <row r="4" spans="1:3" ht="15.75" thickBot="1" x14ac:dyDescent="0.3">
      <c r="A4" s="58"/>
      <c r="B4" s="5" t="s">
        <v>1</v>
      </c>
      <c r="C4" s="124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12450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3188130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8200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12966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3996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37051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3087516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6512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25748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100614</v>
      </c>
      <c r="C173" s="60"/>
    </row>
    <row r="174" spans="1:3" ht="16.5" thickBot="1" x14ac:dyDescent="0.3">
      <c r="A174" s="34" t="s">
        <v>145</v>
      </c>
      <c r="B174" s="35">
        <v>3188130</v>
      </c>
      <c r="C174" s="61"/>
    </row>
    <row r="175" spans="1:3" x14ac:dyDescent="0.25">
      <c r="B175" s="141" t="s">
        <v>174</v>
      </c>
      <c r="C175" s="141"/>
    </row>
    <row r="176" spans="1:3" x14ac:dyDescent="0.25">
      <c r="B176" s="141" t="s">
        <v>176</v>
      </c>
      <c r="C176" s="141"/>
    </row>
    <row r="177" spans="2:3" x14ac:dyDescent="0.25">
      <c r="B177" s="141"/>
      <c r="C177" s="14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1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223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103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</f>
        <v>7250</v>
      </c>
      <c r="D10" s="103">
        <f>5200+1000</f>
        <v>6200</v>
      </c>
      <c r="E10" s="63"/>
      <c r="F10" s="63"/>
      <c r="G10" s="107"/>
      <c r="H10" s="63"/>
      <c r="I10" s="63"/>
      <c r="J10" s="2">
        <f t="shared" si="0"/>
        <v>13450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3192132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2000-300-250</f>
        <v>1450</v>
      </c>
      <c r="E42" s="71"/>
      <c r="F42" s="71"/>
      <c r="G42" s="71"/>
      <c r="H42" s="9"/>
      <c r="I42" s="9"/>
      <c r="J42" s="9">
        <f t="shared" si="6"/>
        <v>7950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</f>
        <v>500</v>
      </c>
      <c r="E55" s="9"/>
      <c r="F55" s="9"/>
      <c r="G55" s="9"/>
      <c r="H55" s="9"/>
      <c r="I55" s="9"/>
      <c r="J55" s="9">
        <f t="shared" si="6"/>
        <v>500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11020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33672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</f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103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10550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15466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103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9">
        <f>500+150+200</f>
        <v>850</v>
      </c>
      <c r="D96" s="103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4496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</f>
        <v>4000</v>
      </c>
      <c r="E98" s="84">
        <v>1870</v>
      </c>
      <c r="F98" s="84"/>
      <c r="G98" s="84"/>
      <c r="H98" s="37"/>
      <c r="I98" s="37"/>
      <c r="J98" s="2">
        <f t="shared" si="13"/>
        <v>5870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J99" si="14">SUM(D100:D123)</f>
        <v>5170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38051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1200+100+60</f>
        <v>1360</v>
      </c>
      <c r="D102" s="9"/>
      <c r="E102" s="9"/>
      <c r="F102" s="9"/>
      <c r="G102" s="9"/>
      <c r="H102" s="9"/>
      <c r="I102" s="9"/>
      <c r="J102" s="9">
        <f t="shared" si="15"/>
        <v>1360</v>
      </c>
    </row>
    <row r="103" spans="2:10" x14ac:dyDescent="0.25">
      <c r="B103" s="8" t="s">
        <v>90</v>
      </c>
      <c r="C103" s="71">
        <v>200</v>
      </c>
      <c r="D103" s="103">
        <v>1000</v>
      </c>
      <c r="E103" s="9"/>
      <c r="F103" s="9"/>
      <c r="G103" s="9"/>
      <c r="H103" s="9"/>
      <c r="I103" s="9"/>
      <c r="J103" s="9">
        <f t="shared" si="15"/>
        <v>1200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110">
        <f>400+50</f>
        <v>450</v>
      </c>
      <c r="D105" s="9"/>
      <c r="E105" s="9"/>
      <c r="F105" s="9"/>
      <c r="G105" s="9"/>
      <c r="H105" s="9"/>
      <c r="I105" s="9"/>
      <c r="J105" s="9">
        <f t="shared" si="15"/>
        <v>450</v>
      </c>
    </row>
    <row r="106" spans="2:10" x14ac:dyDescent="0.25">
      <c r="B106" s="8" t="s">
        <v>93</v>
      </c>
      <c r="C106" s="71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5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1200-600+600-800+100</f>
        <v>500</v>
      </c>
      <c r="D109" s="9"/>
      <c r="E109" s="9"/>
      <c r="F109" s="9"/>
      <c r="G109" s="9"/>
      <c r="H109" s="9"/>
      <c r="I109" s="9"/>
      <c r="J109" s="9">
        <f t="shared" si="15"/>
        <v>500</v>
      </c>
    </row>
    <row r="110" spans="2:10" x14ac:dyDescent="0.25">
      <c r="B110" s="8" t="s">
        <v>96</v>
      </c>
      <c r="C110" s="65">
        <f>8000+1550+1800</f>
        <v>11350</v>
      </c>
      <c r="D110" s="9"/>
      <c r="E110" s="9"/>
      <c r="F110" s="9"/>
      <c r="G110" s="9"/>
      <c r="H110" s="9"/>
      <c r="I110" s="9"/>
      <c r="J110" s="9">
        <f t="shared" si="15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1911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3901</v>
      </c>
    </row>
    <row r="120" spans="2:14" x14ac:dyDescent="0.25">
      <c r="B120" s="23" t="s">
        <v>105</v>
      </c>
      <c r="C120" s="103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6">SUM(D125:D145)</f>
        <v>5850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7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</f>
        <v>600</v>
      </c>
      <c r="E152" s="1"/>
      <c r="F152" s="1"/>
      <c r="G152" s="1"/>
      <c r="H152" s="1"/>
      <c r="I152" s="1"/>
      <c r="J152" s="9">
        <f t="shared" si="19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72500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3091516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107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107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107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107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107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107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107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37">
        <v>12588</v>
      </c>
      <c r="G172" s="37"/>
      <c r="H172" s="127"/>
      <c r="I172" s="127"/>
      <c r="J172" s="2">
        <f t="shared" si="22"/>
        <v>12588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850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100616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2997782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3192132</v>
      </c>
      <c r="N174" s="55"/>
    </row>
    <row r="175" spans="1:14" ht="114" customHeight="1" x14ac:dyDescent="0.25">
      <c r="A175" s="81"/>
      <c r="B175" s="140" t="s">
        <v>224</v>
      </c>
      <c r="C175" s="140"/>
      <c r="D175" s="140"/>
      <c r="E175" s="140"/>
      <c r="F175" s="140"/>
      <c r="G175" s="140"/>
      <c r="H175" s="140"/>
      <c r="I175" s="140"/>
      <c r="J175" s="140"/>
    </row>
    <row r="176" spans="1:14" ht="15" customHeight="1" x14ac:dyDescent="0.25">
      <c r="D176" s="141" t="s">
        <v>174</v>
      </c>
      <c r="E176" s="141"/>
      <c r="F176" s="141"/>
      <c r="G176" s="141"/>
      <c r="H176" s="141"/>
      <c r="I176" s="141"/>
      <c r="J176" s="141"/>
    </row>
    <row r="177" spans="3:10" ht="1.5" hidden="1" customHeight="1" x14ac:dyDescent="0.25">
      <c r="D177" s="141" t="s">
        <v>175</v>
      </c>
      <c r="E177" s="141"/>
      <c r="F177" s="141"/>
      <c r="G177" s="141"/>
      <c r="H177" s="141"/>
      <c r="I177" s="141"/>
      <c r="J177" s="141"/>
    </row>
    <row r="178" spans="3:10" hidden="1" x14ac:dyDescent="0.25">
      <c r="C178" s="55"/>
      <c r="D178" s="141"/>
      <c r="E178" s="141"/>
      <c r="F178" s="141"/>
      <c r="G178" s="141"/>
      <c r="H178" s="141"/>
      <c r="I178" s="141"/>
      <c r="J178" s="14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61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223</v>
      </c>
      <c r="B3" s="143"/>
      <c r="C3" s="143"/>
    </row>
    <row r="4" spans="1:3" ht="15.75" thickBot="1" x14ac:dyDescent="0.3">
      <c r="A4" s="58"/>
      <c r="B4" s="5" t="s">
        <v>1</v>
      </c>
      <c r="C4" s="128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13450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3192132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7950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500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33672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15466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4496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5870</v>
      </c>
      <c r="C98" s="59" t="s">
        <v>206</v>
      </c>
    </row>
    <row r="99" spans="1:3" ht="15.75" thickBot="1" x14ac:dyDescent="0.3">
      <c r="A99" s="41" t="s">
        <v>87</v>
      </c>
      <c r="B99" s="45">
        <v>38051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1200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450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3091516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100616</v>
      </c>
      <c r="C173" s="60"/>
    </row>
    <row r="174" spans="1:3" ht="16.5" thickBot="1" x14ac:dyDescent="0.3">
      <c r="A174" s="34" t="s">
        <v>145</v>
      </c>
      <c r="B174" s="35">
        <v>3192132</v>
      </c>
      <c r="C174" s="61"/>
    </row>
    <row r="175" spans="1:3" x14ac:dyDescent="0.25">
      <c r="B175" s="141" t="s">
        <v>174</v>
      </c>
      <c r="C175" s="141"/>
    </row>
    <row r="176" spans="1:3" x14ac:dyDescent="0.25">
      <c r="B176" s="141" t="s">
        <v>176</v>
      </c>
      <c r="C176" s="141"/>
    </row>
    <row r="177" spans="2:3" x14ac:dyDescent="0.25">
      <c r="B177" s="141"/>
      <c r="C177" s="14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7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225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</f>
        <v>3030477</v>
      </c>
      <c r="D7" s="7"/>
      <c r="E7" s="9"/>
      <c r="F7" s="9"/>
      <c r="G7" s="9"/>
      <c r="H7" s="9"/>
      <c r="I7" s="63"/>
      <c r="J7" s="2">
        <f>SUM(C7:H7)</f>
        <v>3030477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103">
        <f>3500+1550+2200+350</f>
        <v>7600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13800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3068780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3263130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111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103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103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115">
        <f>5600+2000-3500+1500</f>
        <v>5600</v>
      </c>
      <c r="D28" s="115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1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103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118325</v>
      </c>
      <c r="D32" s="79">
        <f t="shared" ref="D32:G32" si="5">SUM(D33:D56)</f>
        <v>5255</v>
      </c>
      <c r="E32" s="79"/>
      <c r="F32" s="79"/>
      <c r="G32" s="79">
        <f t="shared" si="5"/>
        <v>0</v>
      </c>
      <c r="H32" s="79"/>
      <c r="I32" s="79"/>
      <c r="J32" s="79">
        <f>SUM(J33:J56)</f>
        <v>123580</v>
      </c>
    </row>
    <row r="33" spans="2:13" x14ac:dyDescent="0.25">
      <c r="B33" s="52" t="s">
        <v>24</v>
      </c>
      <c r="C33" s="103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110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110">
        <f>11000+2500</f>
        <v>13500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14290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110">
        <f>18000+1000</f>
        <v>19000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110">
        <f>7000+800</f>
        <v>7800</v>
      </c>
      <c r="D38" s="110">
        <f>200+50</f>
        <v>250</v>
      </c>
      <c r="E38" s="110"/>
      <c r="F38" s="110"/>
      <c r="G38" s="71"/>
      <c r="H38" s="9"/>
      <c r="I38" s="9"/>
      <c r="J38" s="9">
        <f t="shared" si="6"/>
        <v>8050</v>
      </c>
      <c r="M38" s="55"/>
    </row>
    <row r="39" spans="2:13" x14ac:dyDescent="0.25">
      <c r="B39" s="52" t="s">
        <v>30</v>
      </c>
      <c r="C39" s="103">
        <f>510+40</f>
        <v>550</v>
      </c>
      <c r="D39" s="9"/>
      <c r="E39" s="9"/>
      <c r="F39" s="9"/>
      <c r="G39" s="9"/>
      <c r="H39" s="9"/>
      <c r="I39" s="9"/>
      <c r="J39" s="9">
        <f t="shared" si="6"/>
        <v>550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103">
        <f>6700+1000</f>
        <v>7700</v>
      </c>
      <c r="D41" s="9"/>
      <c r="E41" s="9"/>
      <c r="F41" s="9"/>
      <c r="G41" s="9"/>
      <c r="H41" s="9"/>
      <c r="I41" s="9"/>
      <c r="J41" s="9">
        <f t="shared" si="6"/>
        <v>7700</v>
      </c>
    </row>
    <row r="42" spans="2:13" x14ac:dyDescent="0.25">
      <c r="B42" s="52" t="s">
        <v>33</v>
      </c>
      <c r="C42" s="110">
        <f>6500+1100</f>
        <v>7600</v>
      </c>
      <c r="D42" s="71">
        <f>2000-300-250</f>
        <v>1450</v>
      </c>
      <c r="E42" s="71"/>
      <c r="F42" s="71"/>
      <c r="G42" s="71"/>
      <c r="H42" s="9"/>
      <c r="I42" s="9"/>
      <c r="J42" s="9">
        <f t="shared" si="6"/>
        <v>9050</v>
      </c>
    </row>
    <row r="43" spans="2:13" x14ac:dyDescent="0.25">
      <c r="B43" s="52" t="s">
        <v>34</v>
      </c>
      <c r="C43" s="103">
        <f>4500+100</f>
        <v>4600</v>
      </c>
      <c r="D43" s="9"/>
      <c r="E43" s="9"/>
      <c r="F43" s="9"/>
      <c r="G43" s="9"/>
      <c r="H43" s="9"/>
      <c r="I43" s="9"/>
      <c r="J43" s="9">
        <f t="shared" si="6"/>
        <v>4600</v>
      </c>
    </row>
    <row r="44" spans="2:13" x14ac:dyDescent="0.25">
      <c r="B44" s="52" t="s">
        <v>35</v>
      </c>
      <c r="C44" s="103">
        <f>2600+400</f>
        <v>3000</v>
      </c>
      <c r="D44" s="9"/>
      <c r="E44" s="9"/>
      <c r="F44" s="9"/>
      <c r="G44" s="9"/>
      <c r="H44" s="9"/>
      <c r="I44" s="9"/>
      <c r="J44" s="9">
        <f t="shared" si="6"/>
        <v>3000</v>
      </c>
    </row>
    <row r="45" spans="2:13" x14ac:dyDescent="0.25">
      <c r="B45" s="52" t="s">
        <v>36</v>
      </c>
      <c r="C45" s="103">
        <f>1300-150+100</f>
        <v>1250</v>
      </c>
      <c r="D45" s="9"/>
      <c r="E45" s="9"/>
      <c r="F45" s="9"/>
      <c r="G45" s="9"/>
      <c r="H45" s="9"/>
      <c r="I45" s="9"/>
      <c r="J45" s="9">
        <f t="shared" si="6"/>
        <v>1250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103">
        <f>350+150+200+100</f>
        <v>800</v>
      </c>
      <c r="D48" s="9"/>
      <c r="E48" s="9"/>
      <c r="F48" s="9"/>
      <c r="G48" s="9"/>
      <c r="H48" s="9"/>
      <c r="I48" s="9"/>
      <c r="J48" s="9">
        <f t="shared" si="6"/>
        <v>800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112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112">
        <f>1200+350+600</f>
        <v>2150</v>
      </c>
      <c r="D51" s="9"/>
      <c r="E51" s="9"/>
      <c r="F51" s="9"/>
      <c r="G51" s="9"/>
      <c r="H51" s="9"/>
      <c r="I51" s="9"/>
      <c r="J51" s="9">
        <f t="shared" si="6"/>
        <v>2150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106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103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103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103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21850</v>
      </c>
      <c r="D67" s="42">
        <f>SUM(D68:D91)</f>
        <v>10170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36022</v>
      </c>
    </row>
    <row r="68" spans="2:10" x14ac:dyDescent="0.25">
      <c r="B68" s="14" t="s">
        <v>162</v>
      </c>
      <c r="C68" s="7"/>
      <c r="D68" s="106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106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103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65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112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110">
        <f>5500-500+500</f>
        <v>5500</v>
      </c>
      <c r="D74" s="110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112">
        <f>5500+2700</f>
        <v>8200</v>
      </c>
      <c r="D88" s="9"/>
      <c r="E88" s="63"/>
      <c r="F88" s="63"/>
      <c r="G88" s="63"/>
      <c r="H88" s="63"/>
      <c r="I88" s="63"/>
      <c r="J88" s="2">
        <f t="shared" si="11"/>
        <v>8200</v>
      </c>
    </row>
    <row r="89" spans="2:10" x14ac:dyDescent="0.25">
      <c r="B89" s="8" t="s">
        <v>78</v>
      </c>
      <c r="C89" s="9"/>
      <c r="D89" s="9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10880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15846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103">
        <f>500+150+200+50</f>
        <v>900</v>
      </c>
      <c r="D96" s="9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4546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</row>
    <row r="99" spans="2:10" ht="15.75" thickBot="1" x14ac:dyDescent="0.3">
      <c r="B99" s="41" t="s">
        <v>87</v>
      </c>
      <c r="C99" s="45">
        <f>SUM(C100:C123)</f>
        <v>39663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44534</v>
      </c>
    </row>
    <row r="100" spans="2:10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2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0" x14ac:dyDescent="0.25">
      <c r="B103" s="8" t="s">
        <v>90</v>
      </c>
      <c r="C103" s="110">
        <f>200+1000</f>
        <v>1200</v>
      </c>
      <c r="D103" s="112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0" x14ac:dyDescent="0.25">
      <c r="B104" s="8" t="s">
        <v>91</v>
      </c>
      <c r="C104" s="112">
        <f>1200+50</f>
        <v>1250</v>
      </c>
      <c r="D104" s="9"/>
      <c r="E104" s="9"/>
      <c r="F104" s="9"/>
      <c r="G104" s="9"/>
      <c r="H104" s="9"/>
      <c r="I104" s="9"/>
      <c r="J104" s="9">
        <f t="shared" si="15"/>
        <v>1250</v>
      </c>
    </row>
    <row r="105" spans="2:10" x14ac:dyDescent="0.25">
      <c r="B105" s="8" t="s">
        <v>92</v>
      </c>
      <c r="C105" s="110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0" x14ac:dyDescent="0.25">
      <c r="B106" s="8" t="s">
        <v>93</v>
      </c>
      <c r="C106" s="112">
        <f>1800+109+33</f>
        <v>1942</v>
      </c>
      <c r="D106" s="9">
        <v>20</v>
      </c>
      <c r="E106" s="9"/>
      <c r="F106" s="9"/>
      <c r="G106" s="9"/>
      <c r="H106" s="9"/>
      <c r="I106" s="9"/>
      <c r="J106" s="9">
        <f t="shared" si="15"/>
        <v>1962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0" x14ac:dyDescent="0.25">
      <c r="B110" s="8" t="s">
        <v>96</v>
      </c>
      <c r="C110" s="112">
        <f>8000+1550+1800+3000</f>
        <v>14350</v>
      </c>
      <c r="D110" s="9"/>
      <c r="E110" s="9"/>
      <c r="F110" s="9"/>
      <c r="G110" s="9"/>
      <c r="H110" s="9"/>
      <c r="I110" s="9"/>
      <c r="J110" s="9">
        <f t="shared" si="15"/>
        <v>14350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110">
        <f>3500-100+1200</f>
        <v>4600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5101</v>
      </c>
    </row>
    <row r="120" spans="2:14" x14ac:dyDescent="0.25">
      <c r="B120" s="23" t="s">
        <v>105</v>
      </c>
      <c r="C120" s="9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103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130">
        <f>800+100+300+300</f>
        <v>1500</v>
      </c>
      <c r="D123" s="1"/>
      <c r="E123" s="1"/>
      <c r="F123" s="1"/>
      <c r="G123" s="1"/>
      <c r="H123" s="36"/>
      <c r="I123" s="36"/>
      <c r="J123" s="9">
        <f t="shared" si="15"/>
        <v>1500</v>
      </c>
    </row>
    <row r="124" spans="2:14" ht="15.75" thickBot="1" x14ac:dyDescent="0.3">
      <c r="B124" s="41" t="s">
        <v>109</v>
      </c>
      <c r="C124" s="45">
        <f>SUM(C125:C145)</f>
        <v>239771</v>
      </c>
      <c r="D124" s="45">
        <f t="shared" ref="D124:G124" si="16">SUM(D125:D145)</f>
        <v>6050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246747</v>
      </c>
      <c r="N124" s="55"/>
    </row>
    <row r="125" spans="2:14" x14ac:dyDescent="0.25">
      <c r="B125" s="6" t="s">
        <v>110</v>
      </c>
      <c r="C125" s="114">
        <f>8900-383-500+2100</f>
        <v>10117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10750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103">
        <f>750+50+100</f>
        <v>900</v>
      </c>
      <c r="D133" s="9"/>
      <c r="E133" s="9"/>
      <c r="F133" s="9"/>
      <c r="G133" s="9">
        <v>54</v>
      </c>
      <c r="H133" s="9"/>
      <c r="I133" s="9"/>
      <c r="J133" s="9">
        <f t="shared" si="17"/>
        <v>954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110">
        <f>26514+5000+13482</f>
        <v>44996</v>
      </c>
      <c r="D135" s="103">
        <f>900-100+200</f>
        <v>1000</v>
      </c>
      <c r="E135" s="9"/>
      <c r="F135" s="9"/>
      <c r="G135" s="9"/>
      <c r="H135" s="9"/>
      <c r="I135" s="9"/>
      <c r="J135" s="9">
        <f t="shared" si="17"/>
        <v>45996</v>
      </c>
      <c r="L135" s="55"/>
    </row>
    <row r="136" spans="2:12" x14ac:dyDescent="0.25">
      <c r="B136" s="8" t="s">
        <v>119</v>
      </c>
      <c r="C136" s="112">
        <f>53648+17294+5000</f>
        <v>75942</v>
      </c>
      <c r="D136" s="9">
        <v>500</v>
      </c>
      <c r="E136" s="9"/>
      <c r="F136" s="9"/>
      <c r="G136" s="9"/>
      <c r="H136" s="65"/>
      <c r="I136" s="65"/>
      <c r="J136" s="9">
        <f t="shared" si="17"/>
        <v>76442</v>
      </c>
    </row>
    <row r="137" spans="2:12" x14ac:dyDescent="0.25">
      <c r="B137" s="8" t="s">
        <v>155</v>
      </c>
      <c r="C137" s="112">
        <f>43993+3200+30000+4118</f>
        <v>81311</v>
      </c>
      <c r="D137" s="9">
        <v>500</v>
      </c>
      <c r="E137" s="9"/>
      <c r="F137" s="9"/>
      <c r="G137" s="9"/>
      <c r="H137" s="9"/>
      <c r="I137" s="9"/>
      <c r="J137" s="9">
        <f t="shared" si="17"/>
        <v>81811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103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1820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4231</v>
      </c>
    </row>
    <row r="149" spans="2:10" x14ac:dyDescent="0.25">
      <c r="B149" s="6" t="s">
        <v>128</v>
      </c>
      <c r="C149" s="106">
        <f>1700+100</f>
        <v>1800</v>
      </c>
      <c r="D149" s="7"/>
      <c r="E149" s="7"/>
      <c r="F149" s="7"/>
      <c r="G149" s="7"/>
      <c r="H149" s="7"/>
      <c r="I149" s="7"/>
      <c r="J149" s="9">
        <f>SUM(C149:D149)</f>
        <v>1800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05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3068780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3159414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1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3068780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3263130</v>
      </c>
      <c r="N174" s="55"/>
    </row>
    <row r="175" spans="1:14" ht="114" customHeight="1" x14ac:dyDescent="0.25">
      <c r="A175" s="81"/>
      <c r="B175" s="140" t="s">
        <v>226</v>
      </c>
      <c r="C175" s="140"/>
      <c r="D175" s="140"/>
      <c r="E175" s="140"/>
      <c r="F175" s="140"/>
      <c r="G175" s="140"/>
      <c r="H175" s="140"/>
      <c r="I175" s="140"/>
      <c r="J175" s="140"/>
    </row>
    <row r="176" spans="1:14" ht="15" customHeight="1" x14ac:dyDescent="0.25">
      <c r="D176" s="141" t="s">
        <v>174</v>
      </c>
      <c r="E176" s="141"/>
      <c r="F176" s="141"/>
      <c r="G176" s="141"/>
      <c r="H176" s="141"/>
      <c r="I176" s="141"/>
      <c r="J176" s="141"/>
    </row>
    <row r="177" spans="3:10" ht="1.5" hidden="1" customHeight="1" x14ac:dyDescent="0.25">
      <c r="D177" s="141" t="s">
        <v>175</v>
      </c>
      <c r="E177" s="141"/>
      <c r="F177" s="141"/>
      <c r="G177" s="141"/>
      <c r="H177" s="141"/>
      <c r="I177" s="141"/>
      <c r="J177" s="141"/>
    </row>
    <row r="178" spans="3:10" hidden="1" x14ac:dyDescent="0.25">
      <c r="C178" s="55"/>
      <c r="D178" s="141"/>
      <c r="E178" s="141"/>
      <c r="F178" s="141"/>
      <c r="G178" s="141"/>
      <c r="H178" s="141"/>
      <c r="I178" s="141"/>
      <c r="J178" s="14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57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225</v>
      </c>
      <c r="B3" s="143"/>
      <c r="C3" s="143"/>
    </row>
    <row r="4" spans="1:3" ht="15.75" thickBot="1" x14ac:dyDescent="0.3">
      <c r="A4" s="58"/>
      <c r="B4" s="5" t="s">
        <v>1</v>
      </c>
      <c r="C4" s="129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3030477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13800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3263130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123580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14290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8050</v>
      </c>
      <c r="C38" s="59" t="s">
        <v>199</v>
      </c>
    </row>
    <row r="39" spans="1:3" x14ac:dyDescent="0.25">
      <c r="A39" s="52" t="s">
        <v>30</v>
      </c>
      <c r="B39" s="9">
        <v>550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7700</v>
      </c>
      <c r="C41" s="59" t="s">
        <v>196</v>
      </c>
    </row>
    <row r="42" spans="1:3" x14ac:dyDescent="0.25">
      <c r="A42" s="52" t="s">
        <v>33</v>
      </c>
      <c r="B42" s="9">
        <v>9050</v>
      </c>
      <c r="C42" s="59" t="s">
        <v>199</v>
      </c>
    </row>
    <row r="43" spans="1:3" x14ac:dyDescent="0.25">
      <c r="A43" s="52" t="s">
        <v>34</v>
      </c>
      <c r="B43" s="9">
        <v>4600</v>
      </c>
      <c r="C43" s="59" t="s">
        <v>196</v>
      </c>
    </row>
    <row r="44" spans="1:3" x14ac:dyDescent="0.25">
      <c r="A44" s="52" t="s">
        <v>35</v>
      </c>
      <c r="B44" s="9">
        <v>3000</v>
      </c>
      <c r="C44" s="59" t="s">
        <v>196</v>
      </c>
    </row>
    <row r="45" spans="1:3" x14ac:dyDescent="0.25">
      <c r="A45" s="52" t="s">
        <v>36</v>
      </c>
      <c r="B45" s="9">
        <v>1250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2150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36022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8200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15846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4546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44534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1250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1962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14350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5101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1500</v>
      </c>
      <c r="C123" s="59" t="s">
        <v>196</v>
      </c>
    </row>
    <row r="124" spans="1:3" ht="15.75" thickBot="1" x14ac:dyDescent="0.3">
      <c r="A124" s="41" t="s">
        <v>109</v>
      </c>
      <c r="B124" s="45">
        <v>246747</v>
      </c>
      <c r="C124" s="59"/>
    </row>
    <row r="125" spans="1:3" x14ac:dyDescent="0.25">
      <c r="A125" s="6" t="s">
        <v>110</v>
      </c>
      <c r="B125" s="9">
        <v>10750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954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45996</v>
      </c>
      <c r="C135" s="59" t="s">
        <v>199</v>
      </c>
    </row>
    <row r="136" spans="1:3" x14ac:dyDescent="0.25">
      <c r="A136" s="8" t="s">
        <v>119</v>
      </c>
      <c r="B136" s="9">
        <v>76442</v>
      </c>
      <c r="C136" s="59" t="s">
        <v>199</v>
      </c>
    </row>
    <row r="137" spans="1:3" x14ac:dyDescent="0.25">
      <c r="A137" s="8" t="s">
        <v>155</v>
      </c>
      <c r="B137" s="9">
        <v>81811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4231</v>
      </c>
      <c r="C148" s="59" t="s">
        <v>200</v>
      </c>
    </row>
    <row r="149" spans="1:3" x14ac:dyDescent="0.25">
      <c r="A149" s="6" t="s">
        <v>128</v>
      </c>
      <c r="B149" s="9">
        <v>1800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3159414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3263130</v>
      </c>
      <c r="C174" s="61"/>
    </row>
    <row r="175" spans="1:3" x14ac:dyDescent="0.25">
      <c r="B175" s="141" t="s">
        <v>174</v>
      </c>
      <c r="C175" s="141"/>
    </row>
    <row r="176" spans="1:3" x14ac:dyDescent="0.25">
      <c r="B176" s="141" t="s">
        <v>176</v>
      </c>
      <c r="C176" s="141"/>
    </row>
    <row r="177" spans="2:3" x14ac:dyDescent="0.25">
      <c r="B177" s="141"/>
      <c r="C177" s="14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3" zoomScale="120" zoomScaleNormal="120" workbookViewId="0">
      <selection activeCell="C25" sqref="C2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227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2429193+378192+30000+C22+C29+50000+17294+54098-15601+6601+14877</f>
        <v>3036354</v>
      </c>
      <c r="D7" s="7"/>
      <c r="E7" s="9"/>
      <c r="F7" s="9"/>
      <c r="G7" s="9"/>
      <c r="H7" s="9"/>
      <c r="I7" s="63"/>
      <c r="J7" s="2">
        <f>SUM(C7:H7)</f>
        <v>3036354</v>
      </c>
    </row>
    <row r="8" spans="2:14" x14ac:dyDescent="0.25">
      <c r="B8" s="8" t="s">
        <v>10</v>
      </c>
      <c r="C8" s="110">
        <f>42413+3891</f>
        <v>46304</v>
      </c>
      <c r="D8" s="9"/>
      <c r="E8" s="63"/>
      <c r="F8" s="63"/>
      <c r="G8" s="63"/>
      <c r="H8" s="63"/>
      <c r="I8" s="63"/>
      <c r="J8" s="2">
        <f t="shared" ref="J8:J10" si="0">SUM(C8:H8)</f>
        <v>46304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3500+1550+2200+350</f>
        <v>7600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13800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3090258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3284608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111">
        <f>22550+3250</f>
        <v>25800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2550130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5600+2000-3500+1500</f>
        <v>5600</v>
      </c>
      <c r="D28" s="72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9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124027</v>
      </c>
      <c r="D32" s="79">
        <f t="shared" ref="D32:G32" si="5">SUM(D33:D56)</f>
        <v>4855</v>
      </c>
      <c r="E32" s="79"/>
      <c r="F32" s="79"/>
      <c r="G32" s="79">
        <f t="shared" si="5"/>
        <v>0</v>
      </c>
      <c r="H32" s="79"/>
      <c r="I32" s="79"/>
      <c r="J32" s="79">
        <f>SUM(J33:J56)</f>
        <v>128882</v>
      </c>
    </row>
    <row r="33" spans="2:13" x14ac:dyDescent="0.25">
      <c r="B33" s="52" t="s">
        <v>24</v>
      </c>
      <c r="C33" s="9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71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71">
        <f>11000+2500</f>
        <v>13500</v>
      </c>
      <c r="D35" s="110">
        <f>600-10+200-100</f>
        <v>690</v>
      </c>
      <c r="E35" s="110"/>
      <c r="F35" s="110"/>
      <c r="G35" s="71"/>
      <c r="H35" s="9"/>
      <c r="I35" s="9"/>
      <c r="J35" s="9">
        <f t="shared" si="6"/>
        <v>14190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f>18000+1000</f>
        <v>19000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110">
        <f>7000+800+1700</f>
        <v>9500</v>
      </c>
      <c r="D38" s="71">
        <f>200+50</f>
        <v>250</v>
      </c>
      <c r="E38" s="110"/>
      <c r="F38" s="110"/>
      <c r="G38" s="71"/>
      <c r="H38" s="9"/>
      <c r="I38" s="9"/>
      <c r="J38" s="9">
        <f t="shared" si="6"/>
        <v>9750</v>
      </c>
      <c r="M38" s="55"/>
    </row>
    <row r="39" spans="2:13" x14ac:dyDescent="0.25">
      <c r="B39" s="52" t="s">
        <v>30</v>
      </c>
      <c r="C39" s="103">
        <f>510+40+42</f>
        <v>592</v>
      </c>
      <c r="D39" s="9"/>
      <c r="E39" s="9"/>
      <c r="F39" s="9"/>
      <c r="G39" s="9"/>
      <c r="H39" s="9"/>
      <c r="I39" s="9"/>
      <c r="J39" s="9">
        <f t="shared" si="6"/>
        <v>592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103">
        <f>6700+1000+900</f>
        <v>8600</v>
      </c>
      <c r="D41" s="9"/>
      <c r="E41" s="9"/>
      <c r="F41" s="9"/>
      <c r="G41" s="9"/>
      <c r="H41" s="9"/>
      <c r="I41" s="9"/>
      <c r="J41" s="9">
        <f t="shared" si="6"/>
        <v>8600</v>
      </c>
    </row>
    <row r="42" spans="2:13" x14ac:dyDescent="0.25">
      <c r="B42" s="52" t="s">
        <v>33</v>
      </c>
      <c r="C42" s="110">
        <f>6500+1100+1200</f>
        <v>8800</v>
      </c>
      <c r="D42" s="110">
        <f>2000-300-250-500</f>
        <v>950</v>
      </c>
      <c r="E42" s="71"/>
      <c r="F42" s="71"/>
      <c r="G42" s="71"/>
      <c r="H42" s="9"/>
      <c r="I42" s="9"/>
      <c r="J42" s="9">
        <f t="shared" si="6"/>
        <v>9750</v>
      </c>
    </row>
    <row r="43" spans="2:13" x14ac:dyDescent="0.25">
      <c r="B43" s="52" t="s">
        <v>34</v>
      </c>
      <c r="C43" s="103">
        <f>4500+100+770</f>
        <v>5370</v>
      </c>
      <c r="D43" s="9"/>
      <c r="E43" s="9"/>
      <c r="F43" s="9"/>
      <c r="G43" s="9"/>
      <c r="H43" s="9"/>
      <c r="I43" s="9"/>
      <c r="J43" s="9">
        <f t="shared" si="6"/>
        <v>5370</v>
      </c>
    </row>
    <row r="44" spans="2:13" x14ac:dyDescent="0.25">
      <c r="B44" s="52" t="s">
        <v>35</v>
      </c>
      <c r="C44" s="103">
        <f>2600+400+500</f>
        <v>3500</v>
      </c>
      <c r="D44" s="9"/>
      <c r="E44" s="9"/>
      <c r="F44" s="9"/>
      <c r="G44" s="9"/>
      <c r="H44" s="9"/>
      <c r="I44" s="9"/>
      <c r="J44" s="9">
        <f t="shared" si="6"/>
        <v>3500</v>
      </c>
    </row>
    <row r="45" spans="2:13" x14ac:dyDescent="0.25">
      <c r="B45" s="52" t="s">
        <v>36</v>
      </c>
      <c r="C45" s="103">
        <f>1300-150+100+200</f>
        <v>1450</v>
      </c>
      <c r="D45" s="9"/>
      <c r="E45" s="9"/>
      <c r="F45" s="9"/>
      <c r="G45" s="9"/>
      <c r="H45" s="9"/>
      <c r="I45" s="9"/>
      <c r="J45" s="9">
        <f t="shared" si="6"/>
        <v>1450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103">
        <f>350+150+200+100+10</f>
        <v>810</v>
      </c>
      <c r="D48" s="9"/>
      <c r="E48" s="9"/>
      <c r="F48" s="9"/>
      <c r="G48" s="9"/>
      <c r="H48" s="9"/>
      <c r="I48" s="9"/>
      <c r="J48" s="9">
        <f t="shared" si="6"/>
        <v>810</v>
      </c>
    </row>
    <row r="49" spans="2:10" x14ac:dyDescent="0.25">
      <c r="B49" s="52" t="s">
        <v>40</v>
      </c>
      <c r="C49" s="103">
        <f>550+50+10</f>
        <v>610</v>
      </c>
      <c r="D49" s="9"/>
      <c r="E49" s="9"/>
      <c r="F49" s="9"/>
      <c r="G49" s="9"/>
      <c r="H49" s="9"/>
      <c r="I49" s="9"/>
      <c r="J49" s="9">
        <f t="shared" si="6"/>
        <v>610</v>
      </c>
    </row>
    <row r="50" spans="2:10" x14ac:dyDescent="0.25">
      <c r="B50" s="52" t="s">
        <v>41</v>
      </c>
      <c r="C50" s="65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112">
        <f>1200+350+600+370</f>
        <v>2520</v>
      </c>
      <c r="D51" s="9"/>
      <c r="E51" s="9"/>
      <c r="F51" s="9"/>
      <c r="G51" s="9"/>
      <c r="H51" s="9"/>
      <c r="I51" s="9"/>
      <c r="J51" s="9">
        <f t="shared" si="6"/>
        <v>2520</v>
      </c>
    </row>
    <row r="52" spans="2:10" x14ac:dyDescent="0.25">
      <c r="B52" s="52" t="s">
        <v>43</v>
      </c>
      <c r="C52" s="9"/>
      <c r="D52" s="103">
        <f>400+200</f>
        <v>600</v>
      </c>
      <c r="E52" s="9"/>
      <c r="F52" s="9"/>
      <c r="G52" s="9"/>
      <c r="H52" s="9"/>
      <c r="I52" s="9"/>
      <c r="J52" s="9">
        <f t="shared" si="6"/>
        <v>600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7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9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9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25870</v>
      </c>
      <c r="D67" s="42">
        <f>SUM(D68:D91)</f>
        <v>9870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39742</v>
      </c>
    </row>
    <row r="68" spans="2:10" x14ac:dyDescent="0.25">
      <c r="B68" s="14" t="s">
        <v>162</v>
      </c>
      <c r="C68" s="7"/>
      <c r="D68" s="7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7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9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103">
        <f>4000+600</f>
        <v>4600</v>
      </c>
      <c r="D71" s="9"/>
      <c r="E71" s="63"/>
      <c r="F71" s="63"/>
      <c r="G71" s="63"/>
      <c r="H71" s="63"/>
      <c r="I71" s="63"/>
      <c r="J71" s="2">
        <f t="shared" si="11"/>
        <v>4600</v>
      </c>
    </row>
    <row r="72" spans="2:10" x14ac:dyDescent="0.25">
      <c r="B72" s="8" t="s">
        <v>61</v>
      </c>
      <c r="C72" s="112">
        <f>5000-1000+2390</f>
        <v>6390</v>
      </c>
      <c r="D72" s="9"/>
      <c r="E72" s="63"/>
      <c r="F72" s="63"/>
      <c r="G72" s="63"/>
      <c r="H72" s="63"/>
      <c r="I72" s="63"/>
      <c r="J72" s="2">
        <f t="shared" si="11"/>
        <v>6390</v>
      </c>
    </row>
    <row r="73" spans="2:10" x14ac:dyDescent="0.25">
      <c r="B73" s="8" t="s">
        <v>62</v>
      </c>
      <c r="C73" s="9"/>
      <c r="D73" s="65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71">
        <f>5500-500+500</f>
        <v>5500</v>
      </c>
      <c r="D74" s="71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100+50+30</f>
        <v>180</v>
      </c>
      <c r="D80" s="9"/>
      <c r="E80" s="63"/>
      <c r="F80" s="63"/>
      <c r="G80" s="63"/>
      <c r="H80" s="63"/>
      <c r="I80" s="63"/>
      <c r="J80" s="2">
        <f t="shared" si="11"/>
        <v>180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112">
        <f>5500+2700+1000</f>
        <v>9200</v>
      </c>
      <c r="D88" s="9"/>
      <c r="E88" s="63"/>
      <c r="F88" s="63"/>
      <c r="G88" s="63"/>
      <c r="H88" s="63"/>
      <c r="I88" s="63"/>
      <c r="J88" s="2">
        <f t="shared" si="11"/>
        <v>9200</v>
      </c>
    </row>
    <row r="89" spans="2:10" x14ac:dyDescent="0.25">
      <c r="B89" s="8" t="s">
        <v>78</v>
      </c>
      <c r="C89" s="9"/>
      <c r="D89" s="103">
        <f>650+300-300</f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9580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14546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103">
        <f>2300+1500-1000</f>
        <v>2800</v>
      </c>
      <c r="E95" s="63"/>
      <c r="F95" s="63"/>
      <c r="G95" s="63">
        <v>1000</v>
      </c>
      <c r="H95" s="63"/>
      <c r="I95" s="63"/>
      <c r="J95" s="9">
        <f>SUM(C95:H95)</f>
        <v>3800</v>
      </c>
    </row>
    <row r="96" spans="2:10" x14ac:dyDescent="0.25">
      <c r="B96" s="8" t="s">
        <v>84</v>
      </c>
      <c r="C96" s="9">
        <f>500+150+200+50</f>
        <v>900</v>
      </c>
      <c r="D96" s="103">
        <f>2100+500-300</f>
        <v>2300</v>
      </c>
      <c r="E96" s="63"/>
      <c r="F96" s="63"/>
      <c r="G96" s="63">
        <f>1101-54-1</f>
        <v>1046</v>
      </c>
      <c r="H96" s="63"/>
      <c r="I96" s="63"/>
      <c r="J96" s="9">
        <f t="shared" si="13"/>
        <v>4246</v>
      </c>
    </row>
    <row r="97" spans="2:12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2" ht="15.75" thickBot="1" x14ac:dyDescent="0.3">
      <c r="B98" s="12" t="s">
        <v>86</v>
      </c>
      <c r="C98" s="1"/>
      <c r="D98" s="72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  <c r="L98" s="55"/>
    </row>
    <row r="99" spans="2:12" ht="15.75" thickBot="1" x14ac:dyDescent="0.3">
      <c r="B99" s="41" t="s">
        <v>87</v>
      </c>
      <c r="C99" s="45">
        <f>SUM(C100:C123)</f>
        <v>42808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47679</v>
      </c>
    </row>
    <row r="100" spans="2:12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2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2" x14ac:dyDescent="0.25">
      <c r="B102" s="8" t="s">
        <v>146</v>
      </c>
      <c r="C102" s="65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2" x14ac:dyDescent="0.25">
      <c r="B103" s="8" t="s">
        <v>90</v>
      </c>
      <c r="C103" s="71">
        <f>200+1000</f>
        <v>1200</v>
      </c>
      <c r="D103" s="65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2" x14ac:dyDescent="0.25">
      <c r="B104" s="8" t="s">
        <v>91</v>
      </c>
      <c r="C104" s="112">
        <f>1200+50+470</f>
        <v>1720</v>
      </c>
      <c r="D104" s="9"/>
      <c r="E104" s="9"/>
      <c r="F104" s="9"/>
      <c r="G104" s="9"/>
      <c r="H104" s="9"/>
      <c r="I104" s="9"/>
      <c r="J104" s="9">
        <f t="shared" si="15"/>
        <v>1720</v>
      </c>
    </row>
    <row r="105" spans="2:12" x14ac:dyDescent="0.25">
      <c r="B105" s="8" t="s">
        <v>92</v>
      </c>
      <c r="C105" s="71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2" x14ac:dyDescent="0.25">
      <c r="B106" s="8" t="s">
        <v>93</v>
      </c>
      <c r="C106" s="112">
        <f>1800+109+33+510</f>
        <v>2452</v>
      </c>
      <c r="D106" s="9">
        <v>20</v>
      </c>
      <c r="E106" s="9"/>
      <c r="F106" s="9"/>
      <c r="G106" s="9"/>
      <c r="H106" s="9"/>
      <c r="I106" s="9"/>
      <c r="J106" s="9">
        <f t="shared" si="15"/>
        <v>2472</v>
      </c>
    </row>
    <row r="107" spans="2:12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2" x14ac:dyDescent="0.25">
      <c r="B108" s="8" t="s">
        <v>94</v>
      </c>
      <c r="C108" s="110">
        <f>1200+1100+800+120</f>
        <v>3220</v>
      </c>
      <c r="D108" s="9"/>
      <c r="E108" s="9"/>
      <c r="F108" s="9"/>
      <c r="G108" s="9"/>
      <c r="H108" s="9"/>
      <c r="I108" s="9"/>
      <c r="J108" s="9">
        <f t="shared" si="15"/>
        <v>3220</v>
      </c>
    </row>
    <row r="109" spans="2:12" x14ac:dyDescent="0.25">
      <c r="B109" s="8" t="s">
        <v>95</v>
      </c>
      <c r="C109" s="71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2" x14ac:dyDescent="0.25">
      <c r="B110" s="8" t="s">
        <v>96</v>
      </c>
      <c r="C110" s="112">
        <f>8000+1550+1800+3000+490</f>
        <v>14840</v>
      </c>
      <c r="D110" s="9"/>
      <c r="E110" s="9"/>
      <c r="F110" s="9"/>
      <c r="G110" s="9"/>
      <c r="H110" s="9"/>
      <c r="I110" s="9"/>
      <c r="J110" s="9">
        <f t="shared" si="15"/>
        <v>14840</v>
      </c>
    </row>
    <row r="111" spans="2:12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2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110">
        <f>1200+130+780</f>
        <v>2110</v>
      </c>
      <c r="D113" s="9"/>
      <c r="E113" s="9"/>
      <c r="F113" s="9"/>
      <c r="G113" s="9"/>
      <c r="H113" s="9"/>
      <c r="I113" s="9"/>
      <c r="J113" s="9">
        <f t="shared" si="15"/>
        <v>2110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110">
        <f>3500-100+1200+275</f>
        <v>4875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5376</v>
      </c>
    </row>
    <row r="120" spans="2:14" x14ac:dyDescent="0.25">
      <c r="B120" s="23" t="s">
        <v>105</v>
      </c>
      <c r="C120" s="103">
        <f>2000-50+200</f>
        <v>2150</v>
      </c>
      <c r="D120" s="9"/>
      <c r="E120" s="9"/>
      <c r="F120" s="9"/>
      <c r="G120" s="9"/>
      <c r="H120" s="9"/>
      <c r="I120" s="9"/>
      <c r="J120" s="9">
        <f t="shared" si="15"/>
        <v>2150</v>
      </c>
    </row>
    <row r="121" spans="2:14" x14ac:dyDescent="0.25">
      <c r="B121" s="8" t="s">
        <v>106</v>
      </c>
      <c r="C121" s="9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130">
        <f>800+100+300+300+300</f>
        <v>1800</v>
      </c>
      <c r="D123" s="1"/>
      <c r="E123" s="1"/>
      <c r="F123" s="1"/>
      <c r="G123" s="1"/>
      <c r="H123" s="36"/>
      <c r="I123" s="36"/>
      <c r="J123" s="9">
        <f t="shared" si="15"/>
        <v>1800</v>
      </c>
    </row>
    <row r="124" spans="2:14" ht="15.75" thickBot="1" x14ac:dyDescent="0.3">
      <c r="B124" s="41" t="s">
        <v>109</v>
      </c>
      <c r="C124" s="45">
        <f>SUM(C125:C145)</f>
        <v>248082</v>
      </c>
      <c r="D124" s="45">
        <f t="shared" ref="D124:G124" si="16">SUM(D125:D145)</f>
        <v>5200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254208</v>
      </c>
      <c r="N124" s="55"/>
    </row>
    <row r="125" spans="2:14" x14ac:dyDescent="0.25">
      <c r="B125" s="6" t="s">
        <v>110</v>
      </c>
      <c r="C125" s="114">
        <f>8900-383-500+2100+500</f>
        <v>10617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11250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103">
        <f>100-50</f>
        <v>50</v>
      </c>
      <c r="E129" s="9"/>
      <c r="F129" s="9"/>
      <c r="G129" s="9"/>
      <c r="H129" s="9"/>
      <c r="I129" s="9"/>
      <c r="J129" s="9">
        <f t="shared" si="17"/>
        <v>50</v>
      </c>
    </row>
    <row r="130" spans="2:12" x14ac:dyDescent="0.25">
      <c r="B130" s="8" t="s">
        <v>114</v>
      </c>
      <c r="C130" s="9"/>
      <c r="D130" s="103">
        <f>200-100</f>
        <v>100</v>
      </c>
      <c r="E130" s="9"/>
      <c r="F130" s="9"/>
      <c r="G130" s="9"/>
      <c r="H130" s="9"/>
      <c r="I130" s="9"/>
      <c r="J130" s="9">
        <f t="shared" si="17"/>
        <v>100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103">
        <f>750+50+100+180</f>
        <v>1080</v>
      </c>
      <c r="D133" s="9"/>
      <c r="E133" s="9"/>
      <c r="F133" s="9"/>
      <c r="G133" s="9">
        <v>54</v>
      </c>
      <c r="H133" s="9"/>
      <c r="I133" s="9"/>
      <c r="J133" s="9">
        <f t="shared" si="17"/>
        <v>1134</v>
      </c>
    </row>
    <row r="134" spans="2:12" x14ac:dyDescent="0.25">
      <c r="B134" s="8" t="s">
        <v>117</v>
      </c>
      <c r="C134" s="103">
        <f>1100+370</f>
        <v>1470</v>
      </c>
      <c r="D134" s="9"/>
      <c r="E134" s="9"/>
      <c r="F134" s="9"/>
      <c r="G134" s="9"/>
      <c r="H134" s="9"/>
      <c r="I134" s="9"/>
      <c r="J134" s="9">
        <f t="shared" si="17"/>
        <v>1470</v>
      </c>
    </row>
    <row r="135" spans="2:12" x14ac:dyDescent="0.25">
      <c r="B135" s="23" t="s">
        <v>118</v>
      </c>
      <c r="C135" s="110">
        <f>26514+5000+13482+2000</f>
        <v>46996</v>
      </c>
      <c r="D135" s="9">
        <f>900-100+200</f>
        <v>1000</v>
      </c>
      <c r="E135" s="9"/>
      <c r="F135" s="9"/>
      <c r="G135" s="9"/>
      <c r="H135" s="9"/>
      <c r="I135" s="9"/>
      <c r="J135" s="9">
        <f t="shared" si="17"/>
        <v>47996</v>
      </c>
      <c r="L135" s="55"/>
    </row>
    <row r="136" spans="2:12" x14ac:dyDescent="0.25">
      <c r="B136" s="8" t="s">
        <v>119</v>
      </c>
      <c r="C136" s="112">
        <f>53648+17294+5000+4601</f>
        <v>80543</v>
      </c>
      <c r="D136" s="103">
        <f>500-200</f>
        <v>300</v>
      </c>
      <c r="E136" s="9"/>
      <c r="F136" s="9"/>
      <c r="G136" s="9"/>
      <c r="H136" s="65"/>
      <c r="I136" s="65"/>
      <c r="J136" s="9">
        <f t="shared" si="17"/>
        <v>80843</v>
      </c>
    </row>
    <row r="137" spans="2:12" x14ac:dyDescent="0.25">
      <c r="B137" s="8" t="s">
        <v>155</v>
      </c>
      <c r="C137" s="65">
        <f>43993+3200+30000+4118</f>
        <v>81311</v>
      </c>
      <c r="D137" s="103">
        <f>500-300</f>
        <v>200</v>
      </c>
      <c r="E137" s="9"/>
      <c r="F137" s="9"/>
      <c r="G137" s="9"/>
      <c r="H137" s="9"/>
      <c r="I137" s="9"/>
      <c r="J137" s="9">
        <f t="shared" si="17"/>
        <v>81511</v>
      </c>
    </row>
    <row r="138" spans="2:12" x14ac:dyDescent="0.25">
      <c r="B138" s="8" t="s">
        <v>120</v>
      </c>
      <c r="C138" s="88">
        <f>500-50</f>
        <v>450</v>
      </c>
      <c r="D138" s="113">
        <f>500-200</f>
        <v>300</v>
      </c>
      <c r="E138" s="82"/>
      <c r="F138" s="82">
        <v>445</v>
      </c>
      <c r="G138" s="82"/>
      <c r="H138" s="13"/>
      <c r="I138" s="13"/>
      <c r="J138" s="9">
        <f t="shared" si="17"/>
        <v>1195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1800-600+400-400+150+660</f>
        <v>2010</v>
      </c>
      <c r="D140" s="9"/>
      <c r="E140" s="9"/>
      <c r="F140" s="9"/>
      <c r="G140" s="9"/>
      <c r="H140" s="9"/>
      <c r="I140" s="9"/>
      <c r="J140" s="9">
        <f t="shared" si="17"/>
        <v>2010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2120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4531</v>
      </c>
    </row>
    <row r="149" spans="2:10" x14ac:dyDescent="0.25">
      <c r="B149" s="6" t="s">
        <v>128</v>
      </c>
      <c r="C149" s="106">
        <f>1700+100+300</f>
        <v>2100</v>
      </c>
      <c r="D149" s="7"/>
      <c r="E149" s="7"/>
      <c r="F149" s="7"/>
      <c r="G149" s="7"/>
      <c r="H149" s="7"/>
      <c r="I149" s="7"/>
      <c r="J149" s="9">
        <f>SUM(C149:D149)</f>
        <v>2100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133">
        <f>1000-100+100-200</f>
        <v>800</v>
      </c>
      <c r="E153" s="43"/>
      <c r="F153" s="43"/>
      <c r="G153" s="43"/>
      <c r="H153" s="77"/>
      <c r="I153" s="97"/>
      <c r="J153" s="44">
        <f>SUM(C153:D153)</f>
        <v>800</v>
      </c>
    </row>
    <row r="154" spans="2:10" ht="15.75" thickBot="1" x14ac:dyDescent="0.3">
      <c r="B154" s="41" t="s">
        <v>132</v>
      </c>
      <c r="C154" s="42"/>
      <c r="D154" s="133">
        <f>700-200</f>
        <v>500</v>
      </c>
      <c r="E154" s="43"/>
      <c r="F154" s="43"/>
      <c r="G154" s="43"/>
      <c r="H154" s="77"/>
      <c r="I154" s="97"/>
      <c r="J154" s="44">
        <f>SUM(C154:D154)</f>
        <v>500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3090258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3180892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103">
        <f>500+50</f>
        <v>550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26876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103">
        <f>250-50</f>
        <v>200</v>
      </c>
      <c r="E170" s="63"/>
      <c r="F170" s="63"/>
      <c r="G170" s="63">
        <v>300</v>
      </c>
      <c r="H170" s="75"/>
      <c r="I170" s="75"/>
      <c r="J170" s="2">
        <f t="shared" si="22"/>
        <v>500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3090258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3284608</v>
      </c>
      <c r="N174" s="55"/>
    </row>
    <row r="175" spans="1:14" ht="97.5" customHeight="1" x14ac:dyDescent="0.25">
      <c r="A175" s="81"/>
      <c r="B175" s="140" t="s">
        <v>228</v>
      </c>
      <c r="C175" s="140"/>
      <c r="D175" s="140"/>
      <c r="E175" s="140"/>
      <c r="F175" s="140"/>
      <c r="G175" s="140"/>
      <c r="H175" s="140"/>
      <c r="I175" s="140"/>
      <c r="J175" s="140"/>
    </row>
    <row r="176" spans="1:14" ht="15" customHeight="1" x14ac:dyDescent="0.25">
      <c r="D176" s="141" t="s">
        <v>174</v>
      </c>
      <c r="E176" s="141"/>
      <c r="F176" s="141"/>
      <c r="G176" s="141"/>
      <c r="H176" s="141"/>
      <c r="I176" s="141"/>
      <c r="J176" s="141"/>
    </row>
    <row r="177" spans="3:10" ht="1.5" hidden="1" customHeight="1" x14ac:dyDescent="0.25">
      <c r="D177" s="141" t="s">
        <v>175</v>
      </c>
      <c r="E177" s="141"/>
      <c r="F177" s="141"/>
      <c r="G177" s="141"/>
      <c r="H177" s="141"/>
      <c r="I177" s="141"/>
      <c r="J177" s="141"/>
    </row>
    <row r="178" spans="3:10" hidden="1" x14ac:dyDescent="0.25">
      <c r="C178" s="55"/>
      <c r="D178" s="141"/>
      <c r="E178" s="141"/>
      <c r="F178" s="141"/>
      <c r="G178" s="141"/>
      <c r="H178" s="141"/>
      <c r="I178" s="141"/>
      <c r="J178" s="14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227</v>
      </c>
      <c r="B3" s="143"/>
      <c r="C3" s="143"/>
    </row>
    <row r="4" spans="1:3" ht="15.75" thickBot="1" x14ac:dyDescent="0.3">
      <c r="A4" s="58"/>
      <c r="B4" s="5" t="s">
        <v>1</v>
      </c>
      <c r="C4" s="132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3036354</v>
      </c>
      <c r="C7" s="66" t="s">
        <v>196</v>
      </c>
    </row>
    <row r="8" spans="1:3" x14ac:dyDescent="0.25">
      <c r="A8" s="8" t="s">
        <v>10</v>
      </c>
      <c r="B8" s="2">
        <v>46304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13800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3284608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2550130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128882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14190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9750</v>
      </c>
      <c r="C38" s="59" t="s">
        <v>199</v>
      </c>
    </row>
    <row r="39" spans="1:3" x14ac:dyDescent="0.25">
      <c r="A39" s="52" t="s">
        <v>30</v>
      </c>
      <c r="B39" s="9">
        <v>592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8600</v>
      </c>
      <c r="C41" s="59" t="s">
        <v>196</v>
      </c>
    </row>
    <row r="42" spans="1:3" x14ac:dyDescent="0.25">
      <c r="A42" s="52" t="s">
        <v>33</v>
      </c>
      <c r="B42" s="9">
        <v>9750</v>
      </c>
      <c r="C42" s="59" t="s">
        <v>199</v>
      </c>
    </row>
    <row r="43" spans="1:3" x14ac:dyDescent="0.25">
      <c r="A43" s="52" t="s">
        <v>34</v>
      </c>
      <c r="B43" s="9">
        <v>5370</v>
      </c>
      <c r="C43" s="59" t="s">
        <v>196</v>
      </c>
    </row>
    <row r="44" spans="1:3" x14ac:dyDescent="0.25">
      <c r="A44" s="52" t="s">
        <v>35</v>
      </c>
      <c r="B44" s="9">
        <v>3500</v>
      </c>
      <c r="C44" s="59" t="s">
        <v>196</v>
      </c>
    </row>
    <row r="45" spans="1:3" x14ac:dyDescent="0.25">
      <c r="A45" s="52" t="s">
        <v>36</v>
      </c>
      <c r="B45" s="9">
        <v>1450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810</v>
      </c>
      <c r="C48" s="59" t="s">
        <v>196</v>
      </c>
    </row>
    <row r="49" spans="1:3" x14ac:dyDescent="0.25">
      <c r="A49" s="52" t="s">
        <v>40</v>
      </c>
      <c r="B49" s="9">
        <v>610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2520</v>
      </c>
      <c r="C51" s="59" t="s">
        <v>196</v>
      </c>
    </row>
    <row r="52" spans="1:3" x14ac:dyDescent="0.25">
      <c r="A52" s="52" t="s">
        <v>43</v>
      </c>
      <c r="B52" s="9">
        <v>600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39742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4600</v>
      </c>
      <c r="C71" s="59" t="s">
        <v>196</v>
      </c>
    </row>
    <row r="72" spans="1:3" x14ac:dyDescent="0.25">
      <c r="A72" s="8" t="s">
        <v>61</v>
      </c>
      <c r="B72" s="2">
        <v>6390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180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9200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14546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3800</v>
      </c>
      <c r="C95" s="59" t="s">
        <v>198</v>
      </c>
    </row>
    <row r="96" spans="1:3" x14ac:dyDescent="0.25">
      <c r="A96" s="8" t="s">
        <v>84</v>
      </c>
      <c r="B96" s="9">
        <v>4246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47679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1720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2472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3220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14840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2110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5376</v>
      </c>
      <c r="C119" s="59" t="s">
        <v>201</v>
      </c>
    </row>
    <row r="120" spans="1:3" x14ac:dyDescent="0.25">
      <c r="A120" s="23" t="s">
        <v>105</v>
      </c>
      <c r="B120" s="9">
        <v>2150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1800</v>
      </c>
      <c r="C123" s="59" t="s">
        <v>196</v>
      </c>
    </row>
    <row r="124" spans="1:3" ht="15.75" thickBot="1" x14ac:dyDescent="0.3">
      <c r="A124" s="41" t="s">
        <v>109</v>
      </c>
      <c r="B124" s="45">
        <v>254208</v>
      </c>
      <c r="C124" s="59"/>
    </row>
    <row r="125" spans="1:3" x14ac:dyDescent="0.25">
      <c r="A125" s="6" t="s">
        <v>110</v>
      </c>
      <c r="B125" s="9">
        <v>11250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50</v>
      </c>
      <c r="C129" s="59" t="s">
        <v>8</v>
      </c>
    </row>
    <row r="130" spans="1:3" x14ac:dyDescent="0.25">
      <c r="A130" s="8" t="s">
        <v>114</v>
      </c>
      <c r="B130" s="9">
        <v>100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1134</v>
      </c>
      <c r="C133" s="59" t="s">
        <v>205</v>
      </c>
    </row>
    <row r="134" spans="1:3" x14ac:dyDescent="0.25">
      <c r="A134" s="8" t="s">
        <v>117</v>
      </c>
      <c r="B134" s="9">
        <v>1470</v>
      </c>
      <c r="C134" s="59" t="s">
        <v>196</v>
      </c>
    </row>
    <row r="135" spans="1:3" x14ac:dyDescent="0.25">
      <c r="A135" s="23" t="s">
        <v>118</v>
      </c>
      <c r="B135" s="9">
        <v>47996</v>
      </c>
      <c r="C135" s="59" t="s">
        <v>199</v>
      </c>
    </row>
    <row r="136" spans="1:3" x14ac:dyDescent="0.25">
      <c r="A136" s="8" t="s">
        <v>119</v>
      </c>
      <c r="B136" s="9">
        <v>80843</v>
      </c>
      <c r="C136" s="59" t="s">
        <v>199</v>
      </c>
    </row>
    <row r="137" spans="1:3" x14ac:dyDescent="0.25">
      <c r="A137" s="8" t="s">
        <v>155</v>
      </c>
      <c r="B137" s="9">
        <v>81511</v>
      </c>
      <c r="C137" s="59" t="s">
        <v>199</v>
      </c>
    </row>
    <row r="138" spans="1:3" x14ac:dyDescent="0.25">
      <c r="A138" s="8" t="s">
        <v>120</v>
      </c>
      <c r="B138" s="9">
        <v>1195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2010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4531</v>
      </c>
      <c r="C148" s="59" t="s">
        <v>200</v>
      </c>
    </row>
    <row r="149" spans="1:3" x14ac:dyDescent="0.25">
      <c r="A149" s="6" t="s">
        <v>128</v>
      </c>
      <c r="B149" s="9">
        <v>2100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800</v>
      </c>
      <c r="C153" s="59" t="s">
        <v>8</v>
      </c>
    </row>
    <row r="154" spans="1:3" ht="15.75" thickBot="1" x14ac:dyDescent="0.3">
      <c r="A154" s="41" t="s">
        <v>132</v>
      </c>
      <c r="B154" s="44">
        <v>500</v>
      </c>
      <c r="C154" s="59" t="s">
        <v>8</v>
      </c>
    </row>
    <row r="155" spans="1:3" ht="16.5" thickBot="1" x14ac:dyDescent="0.3">
      <c r="A155" s="29" t="s">
        <v>133</v>
      </c>
      <c r="B155" s="30">
        <v>3180892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26876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500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3284608</v>
      </c>
      <c r="C174" s="61"/>
    </row>
    <row r="175" spans="1:3" x14ac:dyDescent="0.25">
      <c r="B175" s="141" t="s">
        <v>174</v>
      </c>
      <c r="C175" s="141"/>
    </row>
    <row r="176" spans="1:3" x14ac:dyDescent="0.25">
      <c r="B176" s="141" t="s">
        <v>176</v>
      </c>
      <c r="C176" s="141"/>
    </row>
    <row r="177" spans="2:3" x14ac:dyDescent="0.25">
      <c r="B177" s="141"/>
      <c r="C177" s="14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" zoomScale="120" zoomScaleNormal="120" workbookViewId="0">
      <selection activeCell="N10" sqref="N1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229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2429193+378192+30000+C22+C29+50000+17294+54098-15601+6601+14877+3000</f>
        <v>3039354</v>
      </c>
      <c r="D7" s="7"/>
      <c r="E7" s="9"/>
      <c r="F7" s="9"/>
      <c r="G7" s="9"/>
      <c r="H7" s="9"/>
      <c r="I7" s="63"/>
      <c r="J7" s="2">
        <f>SUM(C7:H7)</f>
        <v>3039354</v>
      </c>
    </row>
    <row r="8" spans="2:14" x14ac:dyDescent="0.25">
      <c r="B8" s="8" t="s">
        <v>10</v>
      </c>
      <c r="C8" s="71">
        <f>42413+3891</f>
        <v>46304</v>
      </c>
      <c r="D8" s="9"/>
      <c r="E8" s="63"/>
      <c r="F8" s="63"/>
      <c r="G8" s="63"/>
      <c r="H8" s="63"/>
      <c r="I8" s="63"/>
      <c r="J8" s="2">
        <f t="shared" ref="J8:J10" si="0">SUM(C8:H8)</f>
        <v>46304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103">
        <f>3500+1550+2200+350+700</f>
        <v>8300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14500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3093958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3288308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22550+3250</f>
        <v>25800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2550130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5600+2000-3500+1500</f>
        <v>5600</v>
      </c>
      <c r="D28" s="72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9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124127</v>
      </c>
      <c r="D32" s="79">
        <f t="shared" ref="D32:G32" si="5">SUM(D33:D56)</f>
        <v>4855</v>
      </c>
      <c r="E32" s="79"/>
      <c r="F32" s="79"/>
      <c r="G32" s="79">
        <f t="shared" si="5"/>
        <v>0</v>
      </c>
      <c r="H32" s="79"/>
      <c r="I32" s="79"/>
      <c r="J32" s="79">
        <f>SUM(J33:J56)</f>
        <v>128982</v>
      </c>
    </row>
    <row r="33" spans="2:13" x14ac:dyDescent="0.25">
      <c r="B33" s="52" t="s">
        <v>24</v>
      </c>
      <c r="C33" s="103">
        <f>1800+350+100</f>
        <v>2250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2600</v>
      </c>
    </row>
    <row r="34" spans="2:13" x14ac:dyDescent="0.25">
      <c r="B34" s="52" t="s">
        <v>25</v>
      </c>
      <c r="C34" s="71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71">
        <f>11000+2500</f>
        <v>13500</v>
      </c>
      <c r="D35" s="71">
        <f>600-10+200-100</f>
        <v>690</v>
      </c>
      <c r="E35" s="71"/>
      <c r="F35" s="110"/>
      <c r="G35" s="71"/>
      <c r="H35" s="9"/>
      <c r="I35" s="9"/>
      <c r="J35" s="9">
        <f t="shared" si="6"/>
        <v>14190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f>18000+1000</f>
        <v>19000</v>
      </c>
      <c r="D37" s="65">
        <f>150-50</f>
        <v>100</v>
      </c>
      <c r="E37" s="65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71">
        <f>7000+800+1700</f>
        <v>9500</v>
      </c>
      <c r="D38" s="71">
        <f>200+50</f>
        <v>250</v>
      </c>
      <c r="E38" s="71"/>
      <c r="F38" s="110"/>
      <c r="G38" s="71"/>
      <c r="H38" s="9"/>
      <c r="I38" s="9"/>
      <c r="J38" s="9">
        <f t="shared" si="6"/>
        <v>9750</v>
      </c>
      <c r="M38" s="55"/>
    </row>
    <row r="39" spans="2:13" x14ac:dyDescent="0.25">
      <c r="B39" s="52" t="s">
        <v>30</v>
      </c>
      <c r="C39" s="9">
        <f>510+40+42</f>
        <v>592</v>
      </c>
      <c r="D39" s="9"/>
      <c r="E39" s="9"/>
      <c r="F39" s="9"/>
      <c r="G39" s="9"/>
      <c r="H39" s="9"/>
      <c r="I39" s="9"/>
      <c r="J39" s="9">
        <f t="shared" si="6"/>
        <v>592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f>6700+1000+900</f>
        <v>8600</v>
      </c>
      <c r="D41" s="9"/>
      <c r="E41" s="9"/>
      <c r="F41" s="9"/>
      <c r="G41" s="9"/>
      <c r="H41" s="9"/>
      <c r="I41" s="9"/>
      <c r="J41" s="9">
        <f t="shared" si="6"/>
        <v>8600</v>
      </c>
    </row>
    <row r="42" spans="2:13" x14ac:dyDescent="0.25">
      <c r="B42" s="52" t="s">
        <v>33</v>
      </c>
      <c r="C42" s="71">
        <f>6500+1100+1200</f>
        <v>8800</v>
      </c>
      <c r="D42" s="71">
        <f>2000-300-250-500</f>
        <v>950</v>
      </c>
      <c r="E42" s="71"/>
      <c r="F42" s="71"/>
      <c r="G42" s="71"/>
      <c r="H42" s="9"/>
      <c r="I42" s="9"/>
      <c r="J42" s="9">
        <f t="shared" si="6"/>
        <v>9750</v>
      </c>
    </row>
    <row r="43" spans="2:13" x14ac:dyDescent="0.25">
      <c r="B43" s="52" t="s">
        <v>34</v>
      </c>
      <c r="C43" s="9">
        <f>4500+100+770</f>
        <v>5370</v>
      </c>
      <c r="D43" s="9"/>
      <c r="E43" s="9"/>
      <c r="F43" s="9"/>
      <c r="G43" s="9"/>
      <c r="H43" s="9"/>
      <c r="I43" s="9"/>
      <c r="J43" s="9">
        <f t="shared" si="6"/>
        <v>5370</v>
      </c>
    </row>
    <row r="44" spans="2:13" x14ac:dyDescent="0.25">
      <c r="B44" s="52" t="s">
        <v>35</v>
      </c>
      <c r="C44" s="9">
        <f>2600+400+500</f>
        <v>3500</v>
      </c>
      <c r="D44" s="9"/>
      <c r="E44" s="9"/>
      <c r="F44" s="9"/>
      <c r="G44" s="9"/>
      <c r="H44" s="9"/>
      <c r="I44" s="9"/>
      <c r="J44" s="9">
        <f t="shared" si="6"/>
        <v>3500</v>
      </c>
    </row>
    <row r="45" spans="2:13" x14ac:dyDescent="0.25">
      <c r="B45" s="52" t="s">
        <v>36</v>
      </c>
      <c r="C45" s="9">
        <f>1300-150+100+200</f>
        <v>1450</v>
      </c>
      <c r="D45" s="9"/>
      <c r="E45" s="9"/>
      <c r="F45" s="9"/>
      <c r="G45" s="9"/>
      <c r="H45" s="9"/>
      <c r="I45" s="9"/>
      <c r="J45" s="9">
        <f t="shared" si="6"/>
        <v>1450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9">
        <f>350+150+200+100+10</f>
        <v>810</v>
      </c>
      <c r="D48" s="9"/>
      <c r="E48" s="9"/>
      <c r="F48" s="9"/>
      <c r="G48" s="9"/>
      <c r="H48" s="9"/>
      <c r="I48" s="9"/>
      <c r="J48" s="9">
        <f t="shared" si="6"/>
        <v>810</v>
      </c>
    </row>
    <row r="49" spans="2:10" x14ac:dyDescent="0.25">
      <c r="B49" s="52" t="s">
        <v>40</v>
      </c>
      <c r="C49" s="9">
        <f>550+50+10</f>
        <v>610</v>
      </c>
      <c r="D49" s="9"/>
      <c r="E49" s="9"/>
      <c r="F49" s="9"/>
      <c r="G49" s="9"/>
      <c r="H49" s="9"/>
      <c r="I49" s="9"/>
      <c r="J49" s="9">
        <f t="shared" si="6"/>
        <v>610</v>
      </c>
    </row>
    <row r="50" spans="2:10" x14ac:dyDescent="0.25">
      <c r="B50" s="52" t="s">
        <v>41</v>
      </c>
      <c r="C50" s="65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65">
        <f>1200+350+600+370</f>
        <v>2520</v>
      </c>
      <c r="D51" s="9"/>
      <c r="E51" s="9"/>
      <c r="F51" s="9"/>
      <c r="G51" s="9"/>
      <c r="H51" s="9"/>
      <c r="I51" s="9"/>
      <c r="J51" s="9">
        <f t="shared" si="6"/>
        <v>2520</v>
      </c>
    </row>
    <row r="52" spans="2:10" x14ac:dyDescent="0.25">
      <c r="B52" s="52" t="s">
        <v>43</v>
      </c>
      <c r="C52" s="9"/>
      <c r="D52" s="9">
        <f>400+200</f>
        <v>600</v>
      </c>
      <c r="E52" s="9"/>
      <c r="F52" s="9"/>
      <c r="G52" s="9"/>
      <c r="H52" s="9"/>
      <c r="I52" s="9"/>
      <c r="J52" s="9">
        <f t="shared" si="6"/>
        <v>600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7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9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9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25870</v>
      </c>
      <c r="D67" s="42">
        <f>SUM(D68:D91)</f>
        <v>9870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39742</v>
      </c>
    </row>
    <row r="68" spans="2:10" x14ac:dyDescent="0.25">
      <c r="B68" s="14" t="s">
        <v>162</v>
      </c>
      <c r="C68" s="7"/>
      <c r="D68" s="7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7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9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f>4000+600</f>
        <v>4600</v>
      </c>
      <c r="D71" s="9"/>
      <c r="E71" s="63"/>
      <c r="F71" s="63"/>
      <c r="G71" s="63"/>
      <c r="H71" s="63"/>
      <c r="I71" s="63"/>
      <c r="J71" s="2">
        <f t="shared" si="11"/>
        <v>4600</v>
      </c>
    </row>
    <row r="72" spans="2:10" x14ac:dyDescent="0.25">
      <c r="B72" s="8" t="s">
        <v>61</v>
      </c>
      <c r="C72" s="65">
        <f>5000-1000+2390</f>
        <v>6390</v>
      </c>
      <c r="D72" s="9"/>
      <c r="E72" s="63"/>
      <c r="F72" s="63"/>
      <c r="G72" s="63"/>
      <c r="H72" s="63"/>
      <c r="I72" s="63"/>
      <c r="J72" s="2">
        <f t="shared" si="11"/>
        <v>6390</v>
      </c>
    </row>
    <row r="73" spans="2:10" x14ac:dyDescent="0.25">
      <c r="B73" s="8" t="s">
        <v>62</v>
      </c>
      <c r="C73" s="9"/>
      <c r="D73" s="65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71">
        <f>5500-500+500</f>
        <v>5500</v>
      </c>
      <c r="D74" s="71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100+50+30</f>
        <v>180</v>
      </c>
      <c r="D80" s="9"/>
      <c r="E80" s="63"/>
      <c r="F80" s="63"/>
      <c r="G80" s="63"/>
      <c r="H80" s="63"/>
      <c r="I80" s="63"/>
      <c r="J80" s="2">
        <f t="shared" si="11"/>
        <v>180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f>5500+2700+1000</f>
        <v>9200</v>
      </c>
      <c r="D88" s="9"/>
      <c r="E88" s="63"/>
      <c r="F88" s="63"/>
      <c r="G88" s="63"/>
      <c r="H88" s="63"/>
      <c r="I88" s="63"/>
      <c r="J88" s="2">
        <f t="shared" si="11"/>
        <v>9200</v>
      </c>
    </row>
    <row r="89" spans="2:10" x14ac:dyDescent="0.25">
      <c r="B89" s="8" t="s">
        <v>78</v>
      </c>
      <c r="C89" s="9"/>
      <c r="D89" s="9">
        <f>650+300-300</f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9580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14546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2300+1500-1000</f>
        <v>2800</v>
      </c>
      <c r="E95" s="63"/>
      <c r="F95" s="63"/>
      <c r="G95" s="63">
        <v>1000</v>
      </c>
      <c r="H95" s="63"/>
      <c r="I95" s="63"/>
      <c r="J95" s="9">
        <f>SUM(C95:H95)</f>
        <v>3800</v>
      </c>
    </row>
    <row r="96" spans="2:10" x14ac:dyDescent="0.25">
      <c r="B96" s="8" t="s">
        <v>84</v>
      </c>
      <c r="C96" s="9">
        <f>500+150+200+50</f>
        <v>900</v>
      </c>
      <c r="D96" s="9">
        <f>2100+500-300</f>
        <v>2300</v>
      </c>
      <c r="E96" s="63"/>
      <c r="F96" s="63"/>
      <c r="G96" s="63">
        <f>1101-54-1</f>
        <v>1046</v>
      </c>
      <c r="H96" s="63"/>
      <c r="I96" s="63"/>
      <c r="J96" s="9">
        <f t="shared" si="13"/>
        <v>4246</v>
      </c>
    </row>
    <row r="97" spans="2:12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2" ht="15.75" thickBot="1" x14ac:dyDescent="0.3">
      <c r="B98" s="12" t="s">
        <v>86</v>
      </c>
      <c r="C98" s="1"/>
      <c r="D98" s="72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  <c r="L98" s="55"/>
    </row>
    <row r="99" spans="2:12" ht="15.75" thickBot="1" x14ac:dyDescent="0.3">
      <c r="B99" s="41" t="s">
        <v>87</v>
      </c>
      <c r="C99" s="45">
        <f>SUM(C100:C123)</f>
        <v>43508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48379</v>
      </c>
    </row>
    <row r="100" spans="2:12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2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2" x14ac:dyDescent="0.25">
      <c r="B102" s="8" t="s">
        <v>146</v>
      </c>
      <c r="C102" s="65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2" x14ac:dyDescent="0.25">
      <c r="B103" s="8" t="s">
        <v>90</v>
      </c>
      <c r="C103" s="71">
        <f>200+1000</f>
        <v>1200</v>
      </c>
      <c r="D103" s="65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2" x14ac:dyDescent="0.25">
      <c r="B104" s="8" t="s">
        <v>91</v>
      </c>
      <c r="C104" s="65">
        <f>1200+50+470</f>
        <v>1720</v>
      </c>
      <c r="D104" s="9"/>
      <c r="E104" s="9"/>
      <c r="F104" s="9"/>
      <c r="G104" s="9"/>
      <c r="H104" s="9"/>
      <c r="I104" s="9"/>
      <c r="J104" s="9">
        <f t="shared" si="15"/>
        <v>1720</v>
      </c>
    </row>
    <row r="105" spans="2:12" x14ac:dyDescent="0.25">
      <c r="B105" s="8" t="s">
        <v>92</v>
      </c>
      <c r="C105" s="71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2" x14ac:dyDescent="0.25">
      <c r="B106" s="8" t="s">
        <v>93</v>
      </c>
      <c r="C106" s="65">
        <f>1800+109+33+510</f>
        <v>2452</v>
      </c>
      <c r="D106" s="9">
        <v>20</v>
      </c>
      <c r="E106" s="9"/>
      <c r="F106" s="9"/>
      <c r="G106" s="9"/>
      <c r="H106" s="9"/>
      <c r="I106" s="9"/>
      <c r="J106" s="9">
        <f t="shared" si="15"/>
        <v>2472</v>
      </c>
    </row>
    <row r="107" spans="2:12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2" x14ac:dyDescent="0.25">
      <c r="B108" s="8" t="s">
        <v>94</v>
      </c>
      <c r="C108" s="71">
        <f>1200+1100+800+120</f>
        <v>3220</v>
      </c>
      <c r="D108" s="9"/>
      <c r="E108" s="9"/>
      <c r="F108" s="9"/>
      <c r="G108" s="9"/>
      <c r="H108" s="9"/>
      <c r="I108" s="9"/>
      <c r="J108" s="9">
        <f t="shared" si="15"/>
        <v>3220</v>
      </c>
    </row>
    <row r="109" spans="2:12" x14ac:dyDescent="0.25">
      <c r="B109" s="8" t="s">
        <v>95</v>
      </c>
      <c r="C109" s="71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2" x14ac:dyDescent="0.25">
      <c r="B110" s="8" t="s">
        <v>96</v>
      </c>
      <c r="C110" s="112">
        <f>8000+1550+1800+3000+490+700</f>
        <v>15540</v>
      </c>
      <c r="D110" s="9"/>
      <c r="E110" s="9"/>
      <c r="F110" s="9"/>
      <c r="G110" s="9"/>
      <c r="H110" s="9"/>
      <c r="I110" s="9"/>
      <c r="J110" s="9">
        <f t="shared" si="15"/>
        <v>15540</v>
      </c>
    </row>
    <row r="111" spans="2:12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2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1200+130+780</f>
        <v>2110</v>
      </c>
      <c r="D113" s="9"/>
      <c r="E113" s="9"/>
      <c r="F113" s="9"/>
      <c r="G113" s="9"/>
      <c r="H113" s="9"/>
      <c r="I113" s="9"/>
      <c r="J113" s="9">
        <f t="shared" si="15"/>
        <v>2110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3500-100+1200+275</f>
        <v>4875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5376</v>
      </c>
    </row>
    <row r="120" spans="2:14" x14ac:dyDescent="0.25">
      <c r="B120" s="23" t="s">
        <v>105</v>
      </c>
      <c r="C120" s="9">
        <f>2000-50+200</f>
        <v>2150</v>
      </c>
      <c r="D120" s="9"/>
      <c r="E120" s="9"/>
      <c r="F120" s="9"/>
      <c r="G120" s="9"/>
      <c r="H120" s="9"/>
      <c r="I120" s="9"/>
      <c r="J120" s="9">
        <f t="shared" si="15"/>
        <v>2150</v>
      </c>
    </row>
    <row r="121" spans="2:14" x14ac:dyDescent="0.25">
      <c r="B121" s="8" t="s">
        <v>106</v>
      </c>
      <c r="C121" s="9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800+100+300+300+300</f>
        <v>1800</v>
      </c>
      <c r="D123" s="1"/>
      <c r="E123" s="1"/>
      <c r="F123" s="1"/>
      <c r="G123" s="1"/>
      <c r="H123" s="36"/>
      <c r="I123" s="36"/>
      <c r="J123" s="9">
        <f t="shared" si="15"/>
        <v>1800</v>
      </c>
    </row>
    <row r="124" spans="2:14" ht="15.75" thickBot="1" x14ac:dyDescent="0.3">
      <c r="B124" s="41" t="s">
        <v>109</v>
      </c>
      <c r="C124" s="45">
        <f>SUM(C125:C145)</f>
        <v>251082</v>
      </c>
      <c r="D124" s="45">
        <f t="shared" ref="D124:G124" si="16">SUM(D125:D145)</f>
        <v>5200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257208</v>
      </c>
      <c r="N124" s="55"/>
    </row>
    <row r="125" spans="2:14" x14ac:dyDescent="0.25">
      <c r="B125" s="6" t="s">
        <v>110</v>
      </c>
      <c r="C125" s="73">
        <f>8900-383-500+2100+500</f>
        <v>10617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11250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f>100-50</f>
        <v>50</v>
      </c>
      <c r="E129" s="9"/>
      <c r="F129" s="9"/>
      <c r="G129" s="9"/>
      <c r="H129" s="9"/>
      <c r="I129" s="9"/>
      <c r="J129" s="9">
        <f t="shared" si="17"/>
        <v>50</v>
      </c>
    </row>
    <row r="130" spans="2:12" x14ac:dyDescent="0.25">
      <c r="B130" s="8" t="s">
        <v>114</v>
      </c>
      <c r="C130" s="9"/>
      <c r="D130" s="9">
        <f>200-100</f>
        <v>100</v>
      </c>
      <c r="E130" s="9"/>
      <c r="F130" s="9"/>
      <c r="G130" s="9"/>
      <c r="H130" s="9"/>
      <c r="I130" s="9"/>
      <c r="J130" s="9">
        <f t="shared" si="17"/>
        <v>100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750+50+100+180</f>
        <v>1080</v>
      </c>
      <c r="D133" s="9"/>
      <c r="E133" s="9"/>
      <c r="F133" s="9"/>
      <c r="G133" s="9">
        <v>54</v>
      </c>
      <c r="H133" s="9"/>
      <c r="I133" s="9"/>
      <c r="J133" s="9">
        <f t="shared" si="17"/>
        <v>1134</v>
      </c>
    </row>
    <row r="134" spans="2:12" x14ac:dyDescent="0.25">
      <c r="B134" s="8" t="s">
        <v>117</v>
      </c>
      <c r="C134" s="9">
        <f>1100+370</f>
        <v>1470</v>
      </c>
      <c r="D134" s="9"/>
      <c r="E134" s="9"/>
      <c r="F134" s="9"/>
      <c r="G134" s="9"/>
      <c r="H134" s="9"/>
      <c r="I134" s="9"/>
      <c r="J134" s="9">
        <f t="shared" si="17"/>
        <v>1470</v>
      </c>
    </row>
    <row r="135" spans="2:12" x14ac:dyDescent="0.25">
      <c r="B135" s="23" t="s">
        <v>118</v>
      </c>
      <c r="C135" s="71">
        <f>26514+5000+13482+2000</f>
        <v>46996</v>
      </c>
      <c r="D135" s="9">
        <f>900-100+200</f>
        <v>1000</v>
      </c>
      <c r="E135" s="9"/>
      <c r="F135" s="9"/>
      <c r="G135" s="9"/>
      <c r="H135" s="9"/>
      <c r="I135" s="9"/>
      <c r="J135" s="9">
        <f t="shared" si="17"/>
        <v>47996</v>
      </c>
      <c r="L135" s="55"/>
    </row>
    <row r="136" spans="2:12" x14ac:dyDescent="0.25">
      <c r="B136" s="8" t="s">
        <v>119</v>
      </c>
      <c r="C136" s="65">
        <f>53648+17294+5000+4601</f>
        <v>80543</v>
      </c>
      <c r="D136" s="9">
        <f>500-200</f>
        <v>300</v>
      </c>
      <c r="E136" s="9"/>
      <c r="F136" s="9"/>
      <c r="G136" s="9"/>
      <c r="H136" s="65"/>
      <c r="I136" s="65"/>
      <c r="J136" s="9">
        <f t="shared" si="17"/>
        <v>80843</v>
      </c>
    </row>
    <row r="137" spans="2:12" x14ac:dyDescent="0.25">
      <c r="B137" s="8" t="s">
        <v>155</v>
      </c>
      <c r="C137" s="112">
        <f>43993+3200+30000+4118+3000</f>
        <v>84311</v>
      </c>
      <c r="D137" s="9">
        <f>500-300</f>
        <v>200</v>
      </c>
      <c r="E137" s="9"/>
      <c r="F137" s="9"/>
      <c r="G137" s="9"/>
      <c r="H137" s="9"/>
      <c r="I137" s="9"/>
      <c r="J137" s="9">
        <f t="shared" si="17"/>
        <v>84511</v>
      </c>
    </row>
    <row r="138" spans="2:12" x14ac:dyDescent="0.25">
      <c r="B138" s="8" t="s">
        <v>120</v>
      </c>
      <c r="C138" s="88">
        <f>500-50</f>
        <v>450</v>
      </c>
      <c r="D138" s="82">
        <f>500-200</f>
        <v>300</v>
      </c>
      <c r="E138" s="82"/>
      <c r="F138" s="82">
        <v>445</v>
      </c>
      <c r="G138" s="82"/>
      <c r="H138" s="13"/>
      <c r="I138" s="13"/>
      <c r="J138" s="9">
        <f t="shared" si="17"/>
        <v>1195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1800-600+400-400+150+660</f>
        <v>2010</v>
      </c>
      <c r="D140" s="9"/>
      <c r="E140" s="9"/>
      <c r="F140" s="9"/>
      <c r="G140" s="9"/>
      <c r="H140" s="9"/>
      <c r="I140" s="9"/>
      <c r="J140" s="9">
        <f t="shared" si="17"/>
        <v>2010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2020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4431</v>
      </c>
    </row>
    <row r="149" spans="2:10" x14ac:dyDescent="0.25">
      <c r="B149" s="6" t="s">
        <v>128</v>
      </c>
      <c r="C149" s="106">
        <f>1700+100+300-100</f>
        <v>2000</v>
      </c>
      <c r="D149" s="7"/>
      <c r="E149" s="7"/>
      <c r="F149" s="7"/>
      <c r="G149" s="7"/>
      <c r="H149" s="7"/>
      <c r="I149" s="7"/>
      <c r="J149" s="9">
        <f>SUM(C149:D149)</f>
        <v>2000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43">
        <f>1000-100+100-200</f>
        <v>800</v>
      </c>
      <c r="E153" s="43"/>
      <c r="F153" s="43"/>
      <c r="G153" s="43"/>
      <c r="H153" s="77"/>
      <c r="I153" s="97"/>
      <c r="J153" s="44">
        <f>SUM(C153:D153)</f>
        <v>800</v>
      </c>
    </row>
    <row r="154" spans="2:10" ht="15.75" thickBot="1" x14ac:dyDescent="0.3">
      <c r="B154" s="41" t="s">
        <v>132</v>
      </c>
      <c r="C154" s="42"/>
      <c r="D154" s="43">
        <f>700-200</f>
        <v>500</v>
      </c>
      <c r="E154" s="43"/>
      <c r="F154" s="43"/>
      <c r="G154" s="43"/>
      <c r="H154" s="77"/>
      <c r="I154" s="97"/>
      <c r="J154" s="44">
        <f>SUM(C154:D154)</f>
        <v>500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3093958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3184592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f>500+50</f>
        <v>550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26876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f>250-50</f>
        <v>200</v>
      </c>
      <c r="E170" s="63"/>
      <c r="F170" s="63"/>
      <c r="G170" s="63">
        <v>300</v>
      </c>
      <c r="H170" s="75"/>
      <c r="I170" s="75"/>
      <c r="J170" s="2">
        <f t="shared" si="22"/>
        <v>500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3093958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3288308</v>
      </c>
      <c r="N174" s="55"/>
    </row>
    <row r="175" spans="1:14" ht="54" customHeight="1" x14ac:dyDescent="0.25">
      <c r="A175" s="81"/>
      <c r="B175" s="140" t="s">
        <v>230</v>
      </c>
      <c r="C175" s="140"/>
      <c r="D175" s="140"/>
      <c r="E175" s="140"/>
      <c r="F175" s="140"/>
      <c r="G175" s="140"/>
      <c r="H175" s="140"/>
      <c r="I175" s="140"/>
      <c r="J175" s="140"/>
    </row>
    <row r="176" spans="1:14" ht="15" customHeight="1" x14ac:dyDescent="0.25">
      <c r="D176" s="141" t="s">
        <v>174</v>
      </c>
      <c r="E176" s="141"/>
      <c r="F176" s="141"/>
      <c r="G176" s="141"/>
      <c r="H176" s="141"/>
      <c r="I176" s="141"/>
      <c r="J176" s="141"/>
    </row>
    <row r="177" spans="3:10" ht="1.5" hidden="1" customHeight="1" x14ac:dyDescent="0.25">
      <c r="D177" s="141" t="s">
        <v>175</v>
      </c>
      <c r="E177" s="141"/>
      <c r="F177" s="141"/>
      <c r="G177" s="141"/>
      <c r="H177" s="141"/>
      <c r="I177" s="141"/>
      <c r="J177" s="141"/>
    </row>
    <row r="178" spans="3:10" hidden="1" x14ac:dyDescent="0.25">
      <c r="C178" s="55"/>
      <c r="D178" s="141"/>
      <c r="E178" s="141"/>
      <c r="F178" s="141"/>
      <c r="G178" s="141"/>
      <c r="H178" s="141"/>
      <c r="I178" s="141"/>
      <c r="J178" s="14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6"/>
  <sheetViews>
    <sheetView topLeftCell="A151" zoomScale="110" zoomScaleNormal="110" workbookViewId="0">
      <selection activeCell="E82" sqref="E82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183</v>
      </c>
      <c r="B3" s="143"/>
      <c r="C3" s="143"/>
    </row>
    <row r="4" spans="1:3" ht="15.75" thickBot="1" x14ac:dyDescent="0.3">
      <c r="A4" s="58"/>
      <c r="B4" s="5" t="s">
        <v>1</v>
      </c>
      <c r="C4" s="90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2656339</v>
      </c>
      <c r="C7" s="66" t="s">
        <v>7</v>
      </c>
    </row>
    <row r="8" spans="1:3" x14ac:dyDescent="0.25">
      <c r="A8" s="8" t="s">
        <v>10</v>
      </c>
      <c r="B8" s="2">
        <v>30703</v>
      </c>
      <c r="C8" s="66" t="s">
        <v>7</v>
      </c>
    </row>
    <row r="9" spans="1:3" x14ac:dyDescent="0.25">
      <c r="A9" s="8" t="s">
        <v>178</v>
      </c>
      <c r="B9" s="2">
        <v>58880</v>
      </c>
      <c r="C9" s="66" t="s">
        <v>8</v>
      </c>
    </row>
    <row r="10" spans="1:3" x14ac:dyDescent="0.25">
      <c r="A10" s="8" t="s">
        <v>166</v>
      </c>
      <c r="B10" s="2">
        <v>9700</v>
      </c>
      <c r="C10" s="66" t="s">
        <v>152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0</v>
      </c>
      <c r="C12" s="66"/>
    </row>
    <row r="13" spans="1:3" x14ac:dyDescent="0.25">
      <c r="A13" s="95" t="s">
        <v>182</v>
      </c>
      <c r="B13" s="2">
        <v>0</v>
      </c>
      <c r="C13" s="66"/>
    </row>
    <row r="14" spans="1:3" x14ac:dyDescent="0.25">
      <c r="A14" s="52" t="s">
        <v>11</v>
      </c>
      <c r="B14" s="2">
        <v>8236</v>
      </c>
      <c r="C14" s="66" t="s">
        <v>152</v>
      </c>
    </row>
    <row r="15" spans="1:3" ht="15.75" thickBot="1" x14ac:dyDescent="0.3">
      <c r="A15" s="10" t="s">
        <v>169</v>
      </c>
      <c r="B15" s="2">
        <v>17545</v>
      </c>
      <c r="C15" s="66" t="s">
        <v>188</v>
      </c>
    </row>
    <row r="16" spans="1:3" ht="16.5" thickBot="1" x14ac:dyDescent="0.3">
      <c r="A16" s="29" t="s">
        <v>12</v>
      </c>
      <c r="B16" s="30">
        <v>2781403</v>
      </c>
      <c r="C16" s="57"/>
    </row>
    <row r="17" spans="1:3" ht="16.5" thickBot="1" x14ac:dyDescent="0.3">
      <c r="A17" s="3"/>
      <c r="B17" s="11"/>
    </row>
    <row r="18" spans="1:3" ht="43.5" thickBot="1" x14ac:dyDescent="0.3">
      <c r="A18" s="24" t="s">
        <v>13</v>
      </c>
      <c r="B18" s="25" t="s">
        <v>5</v>
      </c>
      <c r="C18" s="50" t="s">
        <v>151</v>
      </c>
    </row>
    <row r="19" spans="1:3" ht="16.5" thickBot="1" x14ac:dyDescent="0.3">
      <c r="A19" s="31" t="s">
        <v>6</v>
      </c>
      <c r="B19" s="28"/>
      <c r="C19" s="32"/>
    </row>
    <row r="20" spans="1:3" ht="15.75" thickBot="1" x14ac:dyDescent="0.3">
      <c r="A20" s="38" t="s">
        <v>14</v>
      </c>
      <c r="B20" s="45">
        <v>2255656</v>
      </c>
      <c r="C20" s="62" t="s">
        <v>189</v>
      </c>
    </row>
    <row r="21" spans="1:3" ht="15.75" thickBot="1" x14ac:dyDescent="0.3">
      <c r="A21" s="39" t="s">
        <v>15</v>
      </c>
      <c r="B21" s="45">
        <v>56699</v>
      </c>
      <c r="C21" s="67" t="s">
        <v>152</v>
      </c>
    </row>
    <row r="22" spans="1:3" ht="15.75" thickBot="1" x14ac:dyDescent="0.3">
      <c r="A22" s="40" t="s">
        <v>16</v>
      </c>
      <c r="B22" s="45">
        <v>2540</v>
      </c>
      <c r="C22" s="66" t="s">
        <v>8</v>
      </c>
    </row>
    <row r="23" spans="1:3" ht="15.75" thickBot="1" x14ac:dyDescent="0.3">
      <c r="A23" s="41" t="s">
        <v>17</v>
      </c>
      <c r="B23" s="42">
        <v>30250</v>
      </c>
      <c r="C23" s="67" t="s">
        <v>152</v>
      </c>
    </row>
    <row r="24" spans="1:3" x14ac:dyDescent="0.25">
      <c r="A24" s="85" t="s">
        <v>172</v>
      </c>
      <c r="B24" s="73">
        <v>100</v>
      </c>
      <c r="C24" s="59" t="s">
        <v>7</v>
      </c>
    </row>
    <row r="25" spans="1:3" x14ac:dyDescent="0.25">
      <c r="A25" s="6" t="s">
        <v>18</v>
      </c>
      <c r="B25" s="7">
        <v>600</v>
      </c>
      <c r="C25" s="59" t="s">
        <v>8</v>
      </c>
    </row>
    <row r="26" spans="1:3" x14ac:dyDescent="0.25">
      <c r="A26" s="8" t="s">
        <v>177</v>
      </c>
      <c r="B26" s="7">
        <v>17750</v>
      </c>
      <c r="C26" s="67" t="s">
        <v>152</v>
      </c>
    </row>
    <row r="27" spans="1:3" x14ac:dyDescent="0.25">
      <c r="A27" s="8" t="s">
        <v>19</v>
      </c>
      <c r="B27" s="7">
        <v>600</v>
      </c>
      <c r="C27" s="59" t="s">
        <v>152</v>
      </c>
    </row>
    <row r="28" spans="1:3" x14ac:dyDescent="0.25">
      <c r="A28" s="12" t="s">
        <v>20</v>
      </c>
      <c r="B28" s="7">
        <v>2700</v>
      </c>
      <c r="C28" s="59" t="s">
        <v>152</v>
      </c>
    </row>
    <row r="29" spans="1:3" ht="15.75" thickBot="1" x14ac:dyDescent="0.3">
      <c r="A29" s="8" t="s">
        <v>164</v>
      </c>
      <c r="B29" s="7">
        <v>8500</v>
      </c>
      <c r="C29" s="59" t="s">
        <v>152</v>
      </c>
    </row>
    <row r="30" spans="1:3" ht="15.75" thickBot="1" x14ac:dyDescent="0.3">
      <c r="A30" s="41" t="s">
        <v>21</v>
      </c>
      <c r="B30" s="45">
        <v>31535</v>
      </c>
      <c r="C30" s="59"/>
    </row>
    <row r="31" spans="1:3" x14ac:dyDescent="0.25">
      <c r="A31" s="10" t="s">
        <v>22</v>
      </c>
      <c r="B31" s="80">
        <v>31225</v>
      </c>
      <c r="C31" s="59" t="s">
        <v>152</v>
      </c>
    </row>
    <row r="32" spans="1:3" x14ac:dyDescent="0.25">
      <c r="A32" s="52" t="s">
        <v>173</v>
      </c>
      <c r="B32" s="9">
        <v>310</v>
      </c>
      <c r="C32" s="68" t="s">
        <v>8</v>
      </c>
    </row>
    <row r="33" spans="1:3" ht="15.75" thickBot="1" x14ac:dyDescent="0.3">
      <c r="A33" s="48" t="s">
        <v>23</v>
      </c>
      <c r="B33" s="79">
        <v>104912</v>
      </c>
      <c r="C33" s="68"/>
    </row>
    <row r="34" spans="1:3" x14ac:dyDescent="0.25">
      <c r="A34" s="69" t="s">
        <v>24</v>
      </c>
      <c r="B34" s="9">
        <v>2350</v>
      </c>
      <c r="C34" s="59" t="s">
        <v>152</v>
      </c>
    </row>
    <row r="35" spans="1:3" x14ac:dyDescent="0.25">
      <c r="A35" s="52" t="s">
        <v>25</v>
      </c>
      <c r="B35" s="9">
        <v>27827</v>
      </c>
      <c r="C35" s="59" t="s">
        <v>152</v>
      </c>
    </row>
    <row r="36" spans="1:3" x14ac:dyDescent="0.25">
      <c r="A36" s="52" t="s">
        <v>26</v>
      </c>
      <c r="B36" s="9">
        <v>13200</v>
      </c>
      <c r="C36" s="59" t="s">
        <v>152</v>
      </c>
    </row>
    <row r="37" spans="1:3" x14ac:dyDescent="0.25">
      <c r="A37" s="52" t="s">
        <v>27</v>
      </c>
      <c r="B37" s="9">
        <v>100</v>
      </c>
      <c r="C37" s="67" t="s">
        <v>7</v>
      </c>
    </row>
    <row r="38" spans="1:3" x14ac:dyDescent="0.25">
      <c r="A38" s="52" t="s">
        <v>28</v>
      </c>
      <c r="B38" s="9">
        <v>22400</v>
      </c>
      <c r="C38" s="67" t="s">
        <v>152</v>
      </c>
    </row>
    <row r="39" spans="1:3" x14ac:dyDescent="0.25">
      <c r="A39" s="52" t="s">
        <v>29</v>
      </c>
      <c r="B39" s="9">
        <v>6720</v>
      </c>
      <c r="C39" s="59" t="s">
        <v>7</v>
      </c>
    </row>
    <row r="40" spans="1:3" x14ac:dyDescent="0.25">
      <c r="A40" s="52" t="s">
        <v>30</v>
      </c>
      <c r="B40" s="9">
        <v>500</v>
      </c>
      <c r="C40" s="59" t="s">
        <v>7</v>
      </c>
    </row>
    <row r="41" spans="1:3" x14ac:dyDescent="0.25">
      <c r="A41" s="52" t="s">
        <v>31</v>
      </c>
      <c r="B41" s="9">
        <v>400</v>
      </c>
      <c r="C41" s="59" t="s">
        <v>7</v>
      </c>
    </row>
    <row r="42" spans="1:3" x14ac:dyDescent="0.25">
      <c r="A42" s="52" t="s">
        <v>32</v>
      </c>
      <c r="B42" s="9">
        <v>5600</v>
      </c>
      <c r="C42" s="59" t="s">
        <v>7</v>
      </c>
    </row>
    <row r="43" spans="1:3" x14ac:dyDescent="0.25">
      <c r="A43" s="52" t="s">
        <v>33</v>
      </c>
      <c r="B43" s="9">
        <v>8565</v>
      </c>
      <c r="C43" s="59" t="s">
        <v>152</v>
      </c>
    </row>
    <row r="44" spans="1:3" x14ac:dyDescent="0.25">
      <c r="A44" s="52" t="s">
        <v>34</v>
      </c>
      <c r="B44" s="9">
        <v>5000</v>
      </c>
      <c r="C44" s="59" t="s">
        <v>7</v>
      </c>
    </row>
    <row r="45" spans="1:3" x14ac:dyDescent="0.25">
      <c r="A45" s="52" t="s">
        <v>35</v>
      </c>
      <c r="B45" s="9">
        <v>2500</v>
      </c>
      <c r="C45" s="59" t="s">
        <v>7</v>
      </c>
    </row>
    <row r="46" spans="1:3" x14ac:dyDescent="0.25">
      <c r="A46" s="52" t="s">
        <v>36</v>
      </c>
      <c r="B46" s="9">
        <v>1300</v>
      </c>
      <c r="C46" s="59" t="s">
        <v>7</v>
      </c>
    </row>
    <row r="47" spans="1:3" x14ac:dyDescent="0.25">
      <c r="A47" s="52" t="s">
        <v>37</v>
      </c>
      <c r="B47" s="9">
        <v>0</v>
      </c>
      <c r="C47" s="59"/>
    </row>
    <row r="48" spans="1:3" x14ac:dyDescent="0.25">
      <c r="A48" s="52" t="s">
        <v>38</v>
      </c>
      <c r="B48" s="9">
        <v>650</v>
      </c>
      <c r="C48" s="59" t="s">
        <v>152</v>
      </c>
    </row>
    <row r="49" spans="1:3" x14ac:dyDescent="0.25">
      <c r="A49" s="52" t="s">
        <v>39</v>
      </c>
      <c r="B49" s="9">
        <v>500</v>
      </c>
      <c r="C49" s="59" t="s">
        <v>7</v>
      </c>
    </row>
    <row r="50" spans="1:3" x14ac:dyDescent="0.25">
      <c r="A50" s="52" t="s">
        <v>40</v>
      </c>
      <c r="B50" s="9">
        <v>600</v>
      </c>
      <c r="C50" s="59" t="s">
        <v>7</v>
      </c>
    </row>
    <row r="51" spans="1:3" x14ac:dyDescent="0.25">
      <c r="A51" s="52" t="s">
        <v>41</v>
      </c>
      <c r="B51" s="9">
        <v>3800</v>
      </c>
      <c r="C51" s="59" t="s">
        <v>7</v>
      </c>
    </row>
    <row r="52" spans="1:3" x14ac:dyDescent="0.25">
      <c r="A52" s="52" t="s">
        <v>42</v>
      </c>
      <c r="B52" s="9">
        <v>1550</v>
      </c>
      <c r="C52" s="59" t="s">
        <v>7</v>
      </c>
    </row>
    <row r="53" spans="1:3" x14ac:dyDescent="0.25">
      <c r="A53" s="52" t="s">
        <v>43</v>
      </c>
      <c r="B53" s="9">
        <v>400</v>
      </c>
      <c r="C53" s="59" t="s">
        <v>8</v>
      </c>
    </row>
    <row r="54" spans="1:3" x14ac:dyDescent="0.25">
      <c r="A54" s="52" t="s">
        <v>150</v>
      </c>
      <c r="B54" s="9">
        <v>250</v>
      </c>
      <c r="C54" s="59" t="s">
        <v>8</v>
      </c>
    </row>
    <row r="55" spans="1:3" x14ac:dyDescent="0.25">
      <c r="A55" s="52" t="s">
        <v>44</v>
      </c>
      <c r="B55" s="9">
        <v>0</v>
      </c>
      <c r="C55" s="59"/>
    </row>
    <row r="56" spans="1:3" x14ac:dyDescent="0.25">
      <c r="A56" s="53" t="s">
        <v>45</v>
      </c>
      <c r="B56" s="9">
        <v>250</v>
      </c>
      <c r="C56" s="59" t="s">
        <v>8</v>
      </c>
    </row>
    <row r="57" spans="1:3" ht="15.75" thickBot="1" x14ac:dyDescent="0.3">
      <c r="A57" s="17" t="s">
        <v>46</v>
      </c>
      <c r="B57" s="9">
        <v>450</v>
      </c>
      <c r="C57" s="59" t="s">
        <v>8</v>
      </c>
    </row>
    <row r="58" spans="1:3" ht="15.75" thickBot="1" x14ac:dyDescent="0.3">
      <c r="A58" s="46" t="s">
        <v>47</v>
      </c>
      <c r="B58" s="44">
        <v>1400</v>
      </c>
      <c r="C58" s="68"/>
    </row>
    <row r="59" spans="1:3" x14ac:dyDescent="0.25">
      <c r="A59" s="4" t="s">
        <v>48</v>
      </c>
      <c r="B59" s="7">
        <v>0</v>
      </c>
      <c r="C59" s="59"/>
    </row>
    <row r="60" spans="1:3" x14ac:dyDescent="0.25">
      <c r="A60" s="8" t="s">
        <v>49</v>
      </c>
      <c r="B60" s="7">
        <v>100</v>
      </c>
      <c r="C60" s="59" t="s">
        <v>8</v>
      </c>
    </row>
    <row r="61" spans="1:3" x14ac:dyDescent="0.25">
      <c r="A61" s="8" t="s">
        <v>50</v>
      </c>
      <c r="B61" s="7">
        <v>800</v>
      </c>
      <c r="C61" s="59" t="s">
        <v>8</v>
      </c>
    </row>
    <row r="62" spans="1:3" x14ac:dyDescent="0.25">
      <c r="A62" s="8" t="s">
        <v>51</v>
      </c>
      <c r="B62" s="7">
        <v>50</v>
      </c>
      <c r="C62" s="59" t="s">
        <v>8</v>
      </c>
    </row>
    <row r="63" spans="1:3" x14ac:dyDescent="0.25">
      <c r="A63" s="8" t="s">
        <v>52</v>
      </c>
      <c r="B63" s="7">
        <v>50</v>
      </c>
      <c r="C63" s="59" t="s">
        <v>8</v>
      </c>
    </row>
    <row r="64" spans="1:3" x14ac:dyDescent="0.25">
      <c r="A64" s="8" t="s">
        <v>53</v>
      </c>
      <c r="B64" s="7">
        <v>100</v>
      </c>
      <c r="C64" s="59" t="s">
        <v>8</v>
      </c>
    </row>
    <row r="65" spans="1:3" x14ac:dyDescent="0.25">
      <c r="A65" s="8" t="s">
        <v>54</v>
      </c>
      <c r="B65" s="7">
        <v>100</v>
      </c>
      <c r="C65" s="59" t="s">
        <v>8</v>
      </c>
    </row>
    <row r="66" spans="1:3" x14ac:dyDescent="0.25">
      <c r="A66" s="8" t="s">
        <v>55</v>
      </c>
      <c r="B66" s="7">
        <v>0</v>
      </c>
      <c r="C66" s="59" t="s">
        <v>8</v>
      </c>
    </row>
    <row r="67" spans="1:3" ht="15.75" thickBot="1" x14ac:dyDescent="0.3">
      <c r="A67" s="12" t="s">
        <v>56</v>
      </c>
      <c r="B67" s="7">
        <v>200</v>
      </c>
      <c r="C67" s="59" t="s">
        <v>8</v>
      </c>
    </row>
    <row r="68" spans="1:3" ht="15.75" thickBot="1" x14ac:dyDescent="0.3">
      <c r="A68" s="41" t="s">
        <v>57</v>
      </c>
      <c r="B68" s="44">
        <v>29460</v>
      </c>
      <c r="C68" s="59"/>
    </row>
    <row r="69" spans="1:3" x14ac:dyDescent="0.25">
      <c r="A69" s="14" t="s">
        <v>162</v>
      </c>
      <c r="B69" s="2">
        <v>100</v>
      </c>
      <c r="C69" s="59" t="s">
        <v>8</v>
      </c>
    </row>
    <row r="70" spans="1:3" x14ac:dyDescent="0.25">
      <c r="A70" s="14" t="s">
        <v>58</v>
      </c>
      <c r="B70" s="2">
        <v>100</v>
      </c>
      <c r="C70" s="59" t="s">
        <v>8</v>
      </c>
    </row>
    <row r="71" spans="1:3" x14ac:dyDescent="0.25">
      <c r="A71" s="8" t="s">
        <v>59</v>
      </c>
      <c r="B71" s="2">
        <v>400</v>
      </c>
      <c r="C71" s="59" t="s">
        <v>8</v>
      </c>
    </row>
    <row r="72" spans="1:3" x14ac:dyDescent="0.25">
      <c r="A72" s="8" t="s">
        <v>60</v>
      </c>
      <c r="B72" s="2">
        <v>4000</v>
      </c>
      <c r="C72" s="59" t="s">
        <v>7</v>
      </c>
    </row>
    <row r="73" spans="1:3" x14ac:dyDescent="0.25">
      <c r="A73" s="8" t="s">
        <v>61</v>
      </c>
      <c r="B73" s="2">
        <v>5000</v>
      </c>
      <c r="C73" s="59" t="s">
        <v>7</v>
      </c>
    </row>
    <row r="74" spans="1:3" x14ac:dyDescent="0.25">
      <c r="A74" s="8" t="s">
        <v>62</v>
      </c>
      <c r="B74" s="2">
        <v>450</v>
      </c>
      <c r="C74" s="59" t="s">
        <v>8</v>
      </c>
    </row>
    <row r="75" spans="1:3" x14ac:dyDescent="0.25">
      <c r="A75" s="8" t="s">
        <v>63</v>
      </c>
      <c r="B75" s="2">
        <v>6500</v>
      </c>
      <c r="C75" s="59" t="s">
        <v>8</v>
      </c>
    </row>
    <row r="76" spans="1:3" x14ac:dyDescent="0.25">
      <c r="A76" s="8" t="s">
        <v>64</v>
      </c>
      <c r="B76" s="2">
        <v>350</v>
      </c>
      <c r="C76" s="59" t="s">
        <v>8</v>
      </c>
    </row>
    <row r="77" spans="1:3" x14ac:dyDescent="0.25">
      <c r="A77" s="8" t="s">
        <v>65</v>
      </c>
      <c r="B77" s="2">
        <v>0</v>
      </c>
      <c r="C77" s="59" t="s">
        <v>8</v>
      </c>
    </row>
    <row r="78" spans="1:3" x14ac:dyDescent="0.25">
      <c r="A78" s="8" t="s">
        <v>66</v>
      </c>
      <c r="B78" s="2">
        <v>100</v>
      </c>
      <c r="C78" s="59" t="s">
        <v>8</v>
      </c>
    </row>
    <row r="79" spans="1:3" x14ac:dyDescent="0.25">
      <c r="A79" s="8" t="s">
        <v>67</v>
      </c>
      <c r="B79" s="2">
        <v>200</v>
      </c>
      <c r="C79" s="59" t="s">
        <v>8</v>
      </c>
    </row>
    <row r="80" spans="1:3" x14ac:dyDescent="0.25">
      <c r="A80" s="8" t="s">
        <v>68</v>
      </c>
      <c r="B80" s="2">
        <v>100</v>
      </c>
      <c r="C80" s="59" t="s">
        <v>8</v>
      </c>
    </row>
    <row r="81" spans="1:3" x14ac:dyDescent="0.25">
      <c r="A81" s="8" t="s">
        <v>69</v>
      </c>
      <c r="B81" s="2">
        <v>100</v>
      </c>
      <c r="C81" s="59" t="s">
        <v>7</v>
      </c>
    </row>
    <row r="82" spans="1:3" x14ac:dyDescent="0.25">
      <c r="A82" s="8" t="s">
        <v>70</v>
      </c>
      <c r="B82" s="2">
        <v>290</v>
      </c>
      <c r="C82" s="59" t="s">
        <v>191</v>
      </c>
    </row>
    <row r="83" spans="1:3" x14ac:dyDescent="0.25">
      <c r="A83" s="8" t="s">
        <v>71</v>
      </c>
      <c r="B83" s="2">
        <v>500</v>
      </c>
      <c r="C83" s="59" t="s">
        <v>8</v>
      </c>
    </row>
    <row r="84" spans="1:3" x14ac:dyDescent="0.25">
      <c r="A84" s="8" t="s">
        <v>72</v>
      </c>
      <c r="B84" s="2">
        <v>50</v>
      </c>
      <c r="C84" s="59" t="s">
        <v>8</v>
      </c>
    </row>
    <row r="85" spans="1:3" x14ac:dyDescent="0.25">
      <c r="A85" s="8" t="s">
        <v>73</v>
      </c>
      <c r="B85" s="2">
        <v>1150</v>
      </c>
      <c r="C85" s="59" t="s">
        <v>8</v>
      </c>
    </row>
    <row r="86" spans="1:3" x14ac:dyDescent="0.25">
      <c r="A86" s="15" t="s">
        <v>74</v>
      </c>
      <c r="B86" s="2">
        <v>50</v>
      </c>
      <c r="C86" s="59" t="s">
        <v>8</v>
      </c>
    </row>
    <row r="87" spans="1:3" x14ac:dyDescent="0.25">
      <c r="A87" s="6" t="s">
        <v>75</v>
      </c>
      <c r="B87" s="2">
        <v>1500</v>
      </c>
      <c r="C87" s="59" t="s">
        <v>8</v>
      </c>
    </row>
    <row r="88" spans="1:3" x14ac:dyDescent="0.25">
      <c r="A88" s="8" t="s">
        <v>76</v>
      </c>
      <c r="B88" s="2">
        <v>600</v>
      </c>
      <c r="C88" s="59" t="s">
        <v>8</v>
      </c>
    </row>
    <row r="89" spans="1:3" x14ac:dyDescent="0.25">
      <c r="A89" s="8" t="s">
        <v>77</v>
      </c>
      <c r="B89" s="2">
        <v>5500</v>
      </c>
      <c r="C89" s="59" t="s">
        <v>7</v>
      </c>
    </row>
    <row r="90" spans="1:3" x14ac:dyDescent="0.25">
      <c r="A90" s="8" t="s">
        <v>78</v>
      </c>
      <c r="B90" s="2">
        <v>650</v>
      </c>
      <c r="C90" s="59" t="s">
        <v>8</v>
      </c>
    </row>
    <row r="91" spans="1:3" x14ac:dyDescent="0.25">
      <c r="A91" s="8" t="s">
        <v>79</v>
      </c>
      <c r="B91" s="2">
        <v>150</v>
      </c>
      <c r="C91" s="59" t="s">
        <v>8</v>
      </c>
    </row>
    <row r="92" spans="1:3" ht="15.75" thickBot="1" x14ac:dyDescent="0.3">
      <c r="A92" s="12" t="s">
        <v>80</v>
      </c>
      <c r="B92" s="2">
        <v>1620</v>
      </c>
      <c r="C92" s="59" t="s">
        <v>8</v>
      </c>
    </row>
    <row r="93" spans="1:3" ht="15.75" thickBot="1" x14ac:dyDescent="0.3">
      <c r="A93" s="41" t="s">
        <v>81</v>
      </c>
      <c r="B93" s="45">
        <v>9150</v>
      </c>
      <c r="C93" s="59"/>
    </row>
    <row r="94" spans="1:3" x14ac:dyDescent="0.25">
      <c r="A94" s="6" t="s">
        <v>82</v>
      </c>
      <c r="B94" s="76">
        <v>100</v>
      </c>
      <c r="C94" s="59" t="s">
        <v>152</v>
      </c>
    </row>
    <row r="95" spans="1:3" x14ac:dyDescent="0.25">
      <c r="A95" s="8" t="s">
        <v>83</v>
      </c>
      <c r="B95" s="9">
        <v>500</v>
      </c>
      <c r="C95" s="59" t="s">
        <v>7</v>
      </c>
    </row>
    <row r="96" spans="1:3" x14ac:dyDescent="0.25">
      <c r="A96" s="8" t="s">
        <v>154</v>
      </c>
      <c r="B96" s="9">
        <v>3300</v>
      </c>
      <c r="C96" s="59" t="s">
        <v>8</v>
      </c>
    </row>
    <row r="97" spans="1:3" x14ac:dyDescent="0.25">
      <c r="A97" s="8" t="s">
        <v>84</v>
      </c>
      <c r="B97" s="9">
        <v>3700</v>
      </c>
      <c r="C97" s="59" t="s">
        <v>152</v>
      </c>
    </row>
    <row r="98" spans="1:3" x14ac:dyDescent="0.25">
      <c r="A98" s="8" t="s">
        <v>85</v>
      </c>
      <c r="B98" s="9">
        <v>50</v>
      </c>
      <c r="C98" s="59" t="s">
        <v>8</v>
      </c>
    </row>
    <row r="99" spans="1:3" ht="15.75" thickBot="1" x14ac:dyDescent="0.3">
      <c r="A99" s="12" t="s">
        <v>86</v>
      </c>
      <c r="B99" s="2">
        <v>1500</v>
      </c>
      <c r="C99" s="59" t="s">
        <v>8</v>
      </c>
    </row>
    <row r="100" spans="1:3" ht="15.75" thickBot="1" x14ac:dyDescent="0.3">
      <c r="A100" s="41" t="s">
        <v>87</v>
      </c>
      <c r="B100" s="45">
        <v>31230</v>
      </c>
      <c r="C100" s="59"/>
    </row>
    <row r="101" spans="1:3" x14ac:dyDescent="0.25">
      <c r="A101" s="6" t="s">
        <v>88</v>
      </c>
      <c r="B101" s="9">
        <v>1000</v>
      </c>
      <c r="C101" s="59" t="s">
        <v>7</v>
      </c>
    </row>
    <row r="102" spans="1:3" x14ac:dyDescent="0.25">
      <c r="A102" s="8" t="s">
        <v>89</v>
      </c>
      <c r="B102" s="9">
        <v>200</v>
      </c>
      <c r="C102" s="59" t="s">
        <v>7</v>
      </c>
    </row>
    <row r="103" spans="1:3" x14ac:dyDescent="0.25">
      <c r="A103" s="8" t="s">
        <v>146</v>
      </c>
      <c r="B103" s="9">
        <v>1200</v>
      </c>
      <c r="C103" s="59" t="s">
        <v>7</v>
      </c>
    </row>
    <row r="104" spans="1:3" x14ac:dyDescent="0.25">
      <c r="A104" s="8" t="s">
        <v>90</v>
      </c>
      <c r="B104" s="9">
        <v>400</v>
      </c>
      <c r="C104" s="59" t="s">
        <v>7</v>
      </c>
    </row>
    <row r="105" spans="1:3" x14ac:dyDescent="0.25">
      <c r="A105" s="8" t="s">
        <v>91</v>
      </c>
      <c r="B105" s="9">
        <v>1520</v>
      </c>
      <c r="C105" s="59" t="s">
        <v>7</v>
      </c>
    </row>
    <row r="106" spans="1:3" x14ac:dyDescent="0.25">
      <c r="A106" s="8" t="s">
        <v>92</v>
      </c>
      <c r="B106" s="9">
        <v>400</v>
      </c>
      <c r="C106" s="59" t="s">
        <v>7</v>
      </c>
    </row>
    <row r="107" spans="1:3" x14ac:dyDescent="0.25">
      <c r="A107" s="8" t="s">
        <v>93</v>
      </c>
      <c r="B107" s="9">
        <v>1810</v>
      </c>
      <c r="C107" s="59" t="s">
        <v>7</v>
      </c>
    </row>
    <row r="108" spans="1:3" x14ac:dyDescent="0.25">
      <c r="A108" s="8" t="s">
        <v>157</v>
      </c>
      <c r="B108" s="9">
        <v>0</v>
      </c>
      <c r="C108" s="59"/>
    </row>
    <row r="109" spans="1:3" x14ac:dyDescent="0.25">
      <c r="A109" s="8" t="s">
        <v>94</v>
      </c>
      <c r="B109" s="9">
        <v>2300</v>
      </c>
      <c r="C109" s="59" t="s">
        <v>7</v>
      </c>
    </row>
    <row r="110" spans="1:3" x14ac:dyDescent="0.25">
      <c r="A110" s="8" t="s">
        <v>95</v>
      </c>
      <c r="B110" s="9">
        <v>1200</v>
      </c>
      <c r="C110" s="59" t="s">
        <v>7</v>
      </c>
    </row>
    <row r="111" spans="1:3" x14ac:dyDescent="0.25">
      <c r="A111" s="8" t="s">
        <v>96</v>
      </c>
      <c r="B111" s="9">
        <v>8000</v>
      </c>
      <c r="C111" s="59" t="s">
        <v>7</v>
      </c>
    </row>
    <row r="112" spans="1:3" x14ac:dyDescent="0.25">
      <c r="A112" s="8" t="s">
        <v>97</v>
      </c>
      <c r="B112" s="9">
        <v>100</v>
      </c>
      <c r="C112" s="59" t="s">
        <v>8</v>
      </c>
    </row>
    <row r="113" spans="1:3" x14ac:dyDescent="0.25">
      <c r="A113" s="8" t="s">
        <v>158</v>
      </c>
      <c r="B113" s="9">
        <v>0</v>
      </c>
      <c r="C113" s="59"/>
    </row>
    <row r="114" spans="1:3" x14ac:dyDescent="0.25">
      <c r="A114" s="8" t="s">
        <v>98</v>
      </c>
      <c r="B114" s="9">
        <v>1200</v>
      </c>
      <c r="C114" s="59" t="s">
        <v>7</v>
      </c>
    </row>
    <row r="115" spans="1:3" x14ac:dyDescent="0.25">
      <c r="A115" s="8" t="s">
        <v>99</v>
      </c>
      <c r="B115" s="9">
        <v>1000</v>
      </c>
      <c r="C115" s="59" t="s">
        <v>7</v>
      </c>
    </row>
    <row r="116" spans="1:3" x14ac:dyDescent="0.25">
      <c r="A116" s="8" t="s">
        <v>100</v>
      </c>
      <c r="B116" s="9">
        <v>0</v>
      </c>
      <c r="C116" s="59" t="s">
        <v>7</v>
      </c>
    </row>
    <row r="117" spans="1:3" x14ac:dyDescent="0.25">
      <c r="A117" s="8" t="s">
        <v>101</v>
      </c>
      <c r="B117" s="9">
        <v>800</v>
      </c>
      <c r="C117" s="59" t="s">
        <v>7</v>
      </c>
    </row>
    <row r="118" spans="1:3" x14ac:dyDescent="0.25">
      <c r="A118" s="8" t="s">
        <v>102</v>
      </c>
      <c r="B118" s="9">
        <v>100</v>
      </c>
      <c r="C118" s="59" t="s">
        <v>7</v>
      </c>
    </row>
    <row r="119" spans="1:3" x14ac:dyDescent="0.25">
      <c r="A119" s="8" t="s">
        <v>103</v>
      </c>
      <c r="B119" s="9">
        <v>1200</v>
      </c>
      <c r="C119" s="59" t="s">
        <v>7</v>
      </c>
    </row>
    <row r="120" spans="1:3" x14ac:dyDescent="0.25">
      <c r="A120" s="8" t="s">
        <v>104</v>
      </c>
      <c r="B120" s="9">
        <v>3500</v>
      </c>
      <c r="C120" s="59" t="s">
        <v>7</v>
      </c>
    </row>
    <row r="121" spans="1:3" x14ac:dyDescent="0.25">
      <c r="A121" s="23" t="s">
        <v>105</v>
      </c>
      <c r="B121" s="9">
        <v>2000</v>
      </c>
      <c r="C121" s="59" t="s">
        <v>7</v>
      </c>
    </row>
    <row r="122" spans="1:3" x14ac:dyDescent="0.25">
      <c r="A122" s="8" t="s">
        <v>106</v>
      </c>
      <c r="B122" s="9">
        <v>600</v>
      </c>
      <c r="C122" s="59" t="s">
        <v>7</v>
      </c>
    </row>
    <row r="123" spans="1:3" x14ac:dyDescent="0.25">
      <c r="A123" s="8" t="s">
        <v>107</v>
      </c>
      <c r="B123" s="9">
        <v>1500</v>
      </c>
      <c r="C123" s="59" t="s">
        <v>8</v>
      </c>
    </row>
    <row r="124" spans="1:3" ht="15.75" thickBot="1" x14ac:dyDescent="0.3">
      <c r="A124" s="12" t="s">
        <v>108</v>
      </c>
      <c r="B124" s="9">
        <v>1200</v>
      </c>
      <c r="C124" s="59" t="s">
        <v>7</v>
      </c>
    </row>
    <row r="125" spans="1:3" ht="15.75" thickBot="1" x14ac:dyDescent="0.3">
      <c r="A125" s="41" t="s">
        <v>109</v>
      </c>
      <c r="B125" s="45">
        <v>199431</v>
      </c>
      <c r="C125" s="59"/>
    </row>
    <row r="126" spans="1:3" x14ac:dyDescent="0.25">
      <c r="A126" s="6" t="s">
        <v>110</v>
      </c>
      <c r="B126" s="9">
        <v>9050</v>
      </c>
      <c r="C126" s="59" t="s">
        <v>152</v>
      </c>
    </row>
    <row r="127" spans="1:3" x14ac:dyDescent="0.25">
      <c r="A127" s="8" t="s">
        <v>111</v>
      </c>
      <c r="B127" s="9">
        <v>46</v>
      </c>
      <c r="C127" s="59" t="s">
        <v>7</v>
      </c>
    </row>
    <row r="128" spans="1:3" x14ac:dyDescent="0.25">
      <c r="A128" s="8" t="s">
        <v>159</v>
      </c>
      <c r="B128" s="9">
        <v>1200</v>
      </c>
      <c r="C128" s="59" t="s">
        <v>7</v>
      </c>
    </row>
    <row r="129" spans="1:3" x14ac:dyDescent="0.25">
      <c r="A129" s="8" t="s">
        <v>112</v>
      </c>
      <c r="B129" s="9">
        <v>500</v>
      </c>
      <c r="C129" s="59" t="s">
        <v>7</v>
      </c>
    </row>
    <row r="130" spans="1:3" x14ac:dyDescent="0.25">
      <c r="A130" s="8" t="s">
        <v>113</v>
      </c>
      <c r="B130" s="9">
        <v>20</v>
      </c>
      <c r="C130" s="59" t="s">
        <v>8</v>
      </c>
    </row>
    <row r="131" spans="1:3" x14ac:dyDescent="0.25">
      <c r="A131" s="8" t="s">
        <v>114</v>
      </c>
      <c r="B131" s="9">
        <v>200</v>
      </c>
      <c r="C131" s="59" t="s">
        <v>8</v>
      </c>
    </row>
    <row r="132" spans="1:3" x14ac:dyDescent="0.25">
      <c r="A132" s="8" t="s">
        <v>115</v>
      </c>
      <c r="B132" s="9">
        <v>650</v>
      </c>
      <c r="C132" s="59" t="s">
        <v>8</v>
      </c>
    </row>
    <row r="133" spans="1:3" x14ac:dyDescent="0.25">
      <c r="A133" s="8" t="s">
        <v>116</v>
      </c>
      <c r="B133" s="9">
        <v>12860</v>
      </c>
      <c r="C133" s="59" t="s">
        <v>7</v>
      </c>
    </row>
    <row r="134" spans="1:3" x14ac:dyDescent="0.25">
      <c r="A134" s="8" t="s">
        <v>160</v>
      </c>
      <c r="B134" s="9">
        <v>750</v>
      </c>
      <c r="C134" s="59" t="s">
        <v>7</v>
      </c>
    </row>
    <row r="135" spans="1:3" x14ac:dyDescent="0.25">
      <c r="A135" s="8" t="s">
        <v>117</v>
      </c>
      <c r="B135" s="9">
        <v>1000</v>
      </c>
      <c r="C135" s="59" t="s">
        <v>7</v>
      </c>
    </row>
    <row r="136" spans="1:3" x14ac:dyDescent="0.25">
      <c r="A136" s="23" t="s">
        <v>118</v>
      </c>
      <c r="B136" s="9">
        <v>32414</v>
      </c>
      <c r="C136" s="59" t="s">
        <v>152</v>
      </c>
    </row>
    <row r="137" spans="1:3" x14ac:dyDescent="0.25">
      <c r="A137" s="8" t="s">
        <v>119</v>
      </c>
      <c r="B137" s="9">
        <v>54248</v>
      </c>
      <c r="C137" s="59" t="s">
        <v>152</v>
      </c>
    </row>
    <row r="138" spans="1:3" x14ac:dyDescent="0.25">
      <c r="A138" s="8" t="s">
        <v>155</v>
      </c>
      <c r="B138" s="9">
        <v>72693</v>
      </c>
      <c r="C138" s="59" t="s">
        <v>7</v>
      </c>
    </row>
    <row r="139" spans="1:3" x14ac:dyDescent="0.25">
      <c r="A139" s="8" t="s">
        <v>120</v>
      </c>
      <c r="B139" s="9">
        <v>1650</v>
      </c>
      <c r="C139" s="59" t="s">
        <v>152</v>
      </c>
    </row>
    <row r="140" spans="1:3" x14ac:dyDescent="0.25">
      <c r="A140" s="8" t="s">
        <v>121</v>
      </c>
      <c r="B140" s="9">
        <v>4600</v>
      </c>
      <c r="C140" s="59" t="s">
        <v>7</v>
      </c>
    </row>
    <row r="141" spans="1:3" x14ac:dyDescent="0.25">
      <c r="A141" s="8" t="s">
        <v>122</v>
      </c>
      <c r="B141" s="9">
        <v>1200</v>
      </c>
      <c r="C141" s="59" t="s">
        <v>7</v>
      </c>
    </row>
    <row r="142" spans="1:3" x14ac:dyDescent="0.25">
      <c r="A142" s="8" t="s">
        <v>161</v>
      </c>
      <c r="B142" s="9">
        <v>50</v>
      </c>
      <c r="C142" s="59" t="s">
        <v>7</v>
      </c>
    </row>
    <row r="143" spans="1:3" x14ac:dyDescent="0.25">
      <c r="A143" s="8" t="s">
        <v>123</v>
      </c>
      <c r="B143" s="9">
        <v>1300</v>
      </c>
      <c r="C143" s="59" t="s">
        <v>152</v>
      </c>
    </row>
    <row r="144" spans="1:3" x14ac:dyDescent="0.25">
      <c r="A144" s="8" t="s">
        <v>124</v>
      </c>
      <c r="B144" s="9">
        <v>1500</v>
      </c>
      <c r="C144" s="59" t="s">
        <v>7</v>
      </c>
    </row>
    <row r="145" spans="1:3" x14ac:dyDescent="0.25">
      <c r="A145" s="8" t="s">
        <v>125</v>
      </c>
      <c r="B145" s="9">
        <v>2700</v>
      </c>
      <c r="C145" s="59" t="s">
        <v>152</v>
      </c>
    </row>
    <row r="146" spans="1:3" ht="15.75" thickBot="1" x14ac:dyDescent="0.3">
      <c r="A146" s="17" t="s">
        <v>126</v>
      </c>
      <c r="B146" s="9">
        <v>800</v>
      </c>
      <c r="C146" s="59" t="s">
        <v>156</v>
      </c>
    </row>
    <row r="147" spans="1:3" ht="15.75" thickBot="1" x14ac:dyDescent="0.3">
      <c r="A147" s="47" t="s">
        <v>149</v>
      </c>
      <c r="B147" s="70">
        <v>1985</v>
      </c>
      <c r="C147" s="59" t="s">
        <v>8</v>
      </c>
    </row>
    <row r="148" spans="1:3" ht="15.75" thickBot="1" x14ac:dyDescent="0.3">
      <c r="A148" s="48" t="s">
        <v>127</v>
      </c>
      <c r="B148" s="70">
        <v>2000</v>
      </c>
      <c r="C148" s="59" t="s">
        <v>8</v>
      </c>
    </row>
    <row r="149" spans="1:3" ht="15.75" thickBot="1" x14ac:dyDescent="0.3">
      <c r="A149" s="47" t="s">
        <v>148</v>
      </c>
      <c r="B149" s="70">
        <v>2800</v>
      </c>
      <c r="C149" s="59" t="s">
        <v>152</v>
      </c>
    </row>
    <row r="150" spans="1:3" x14ac:dyDescent="0.25">
      <c r="A150" s="6" t="s">
        <v>128</v>
      </c>
      <c r="B150" s="9">
        <v>1700</v>
      </c>
      <c r="C150" s="59" t="s">
        <v>7</v>
      </c>
    </row>
    <row r="151" spans="1:3" x14ac:dyDescent="0.25">
      <c r="A151" s="8" t="s">
        <v>129</v>
      </c>
      <c r="B151" s="9">
        <v>400</v>
      </c>
      <c r="C151" s="59" t="s">
        <v>7</v>
      </c>
    </row>
    <row r="152" spans="1:3" x14ac:dyDescent="0.25">
      <c r="A152" s="12" t="s">
        <v>130</v>
      </c>
      <c r="B152" s="9">
        <v>600</v>
      </c>
      <c r="C152" s="59" t="s">
        <v>152</v>
      </c>
    </row>
    <row r="153" spans="1:3" ht="15.75" thickBot="1" x14ac:dyDescent="0.3">
      <c r="A153" s="18" t="s">
        <v>131</v>
      </c>
      <c r="B153" s="9">
        <v>100</v>
      </c>
      <c r="C153" s="59" t="s">
        <v>8</v>
      </c>
    </row>
    <row r="154" spans="1:3" ht="15.75" thickBot="1" x14ac:dyDescent="0.3">
      <c r="A154" s="49" t="s">
        <v>147</v>
      </c>
      <c r="B154" s="44">
        <v>1000</v>
      </c>
      <c r="C154" s="59" t="s">
        <v>8</v>
      </c>
    </row>
    <row r="155" spans="1:3" ht="15.75" thickBot="1" x14ac:dyDescent="0.3">
      <c r="A155" s="41" t="s">
        <v>132</v>
      </c>
      <c r="B155" s="44">
        <v>700</v>
      </c>
      <c r="C155" s="59" t="s">
        <v>8</v>
      </c>
    </row>
    <row r="156" spans="1:3" ht="16.5" thickBot="1" x14ac:dyDescent="0.3">
      <c r="A156" s="29" t="s">
        <v>133</v>
      </c>
      <c r="B156" s="30">
        <v>2760748</v>
      </c>
      <c r="C156" s="59"/>
    </row>
    <row r="157" spans="1:3" x14ac:dyDescent="0.25">
      <c r="A157" s="19" t="s">
        <v>163</v>
      </c>
      <c r="B157" s="2">
        <v>0</v>
      </c>
      <c r="C157" s="59"/>
    </row>
    <row r="158" spans="1:3" x14ac:dyDescent="0.25">
      <c r="A158" s="19" t="s">
        <v>134</v>
      </c>
      <c r="B158" s="2">
        <v>2797</v>
      </c>
      <c r="C158" s="59" t="s">
        <v>190</v>
      </c>
    </row>
    <row r="159" spans="1:3" x14ac:dyDescent="0.25">
      <c r="A159" s="19" t="s">
        <v>153</v>
      </c>
      <c r="B159" s="2">
        <v>0</v>
      </c>
      <c r="C159" s="59"/>
    </row>
    <row r="160" spans="1:3" x14ac:dyDescent="0.25">
      <c r="A160" s="21" t="s">
        <v>135</v>
      </c>
      <c r="B160" s="2">
        <v>0</v>
      </c>
      <c r="C160" s="59"/>
    </row>
    <row r="161" spans="1:3" x14ac:dyDescent="0.25">
      <c r="A161" s="21" t="s">
        <v>170</v>
      </c>
      <c r="B161" s="2">
        <v>0</v>
      </c>
      <c r="C161" s="59"/>
    </row>
    <row r="162" spans="1:3" x14ac:dyDescent="0.25">
      <c r="A162" s="21" t="s">
        <v>136</v>
      </c>
      <c r="B162" s="2">
        <v>0</v>
      </c>
      <c r="C162" s="59" t="s">
        <v>180</v>
      </c>
    </row>
    <row r="163" spans="1:3" x14ac:dyDescent="0.25">
      <c r="A163" s="21" t="s">
        <v>137</v>
      </c>
      <c r="B163" s="2">
        <v>150</v>
      </c>
      <c r="C163" s="59" t="s">
        <v>8</v>
      </c>
    </row>
    <row r="164" spans="1:3" x14ac:dyDescent="0.25">
      <c r="A164" s="19" t="s">
        <v>138</v>
      </c>
      <c r="B164" s="2">
        <v>400</v>
      </c>
      <c r="C164" s="59" t="s">
        <v>8</v>
      </c>
    </row>
    <row r="165" spans="1:3" x14ac:dyDescent="0.25">
      <c r="A165" s="21" t="s">
        <v>139</v>
      </c>
      <c r="B165" s="2">
        <v>1200</v>
      </c>
      <c r="C165" s="59" t="s">
        <v>8</v>
      </c>
    </row>
    <row r="166" spans="1:3" x14ac:dyDescent="0.25">
      <c r="A166" s="21" t="s">
        <v>171</v>
      </c>
      <c r="B166" s="2">
        <v>50</v>
      </c>
      <c r="C166" s="59" t="s">
        <v>8</v>
      </c>
    </row>
    <row r="167" spans="1:3" x14ac:dyDescent="0.25">
      <c r="A167" s="19" t="s">
        <v>140</v>
      </c>
      <c r="B167" s="2">
        <v>500</v>
      </c>
      <c r="C167" s="59" t="s">
        <v>8</v>
      </c>
    </row>
    <row r="168" spans="1:3" x14ac:dyDescent="0.25">
      <c r="A168" s="22" t="s">
        <v>141</v>
      </c>
      <c r="B168" s="2">
        <v>15408</v>
      </c>
      <c r="C168" s="59" t="s">
        <v>191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100</v>
      </c>
      <c r="C170" s="59" t="s">
        <v>8</v>
      </c>
    </row>
    <row r="171" spans="1:3" ht="15.75" thickBot="1" x14ac:dyDescent="0.3">
      <c r="A171" s="19" t="s">
        <v>143</v>
      </c>
      <c r="B171" s="2">
        <v>50</v>
      </c>
      <c r="C171" s="59" t="s">
        <v>8</v>
      </c>
    </row>
    <row r="172" spans="1:3" ht="16.5" thickBot="1" x14ac:dyDescent="0.3">
      <c r="A172" s="29" t="s">
        <v>144</v>
      </c>
      <c r="B172" s="30">
        <v>20655</v>
      </c>
      <c r="C172" s="60"/>
    </row>
    <row r="173" spans="1:3" ht="16.5" thickBot="1" x14ac:dyDescent="0.3">
      <c r="A173" s="34" t="s">
        <v>145</v>
      </c>
      <c r="B173" s="35">
        <v>2781403</v>
      </c>
      <c r="C173" s="61"/>
    </row>
    <row r="174" spans="1:3" x14ac:dyDescent="0.25">
      <c r="B174" s="141" t="s">
        <v>174</v>
      </c>
      <c r="C174" s="141"/>
    </row>
    <row r="175" spans="1:3" x14ac:dyDescent="0.25">
      <c r="B175" s="141" t="s">
        <v>176</v>
      </c>
      <c r="C175" s="141"/>
    </row>
    <row r="176" spans="1:3" x14ac:dyDescent="0.25">
      <c r="B176" s="141"/>
      <c r="C176" s="141"/>
    </row>
  </sheetData>
  <mergeCells count="4">
    <mergeCell ref="A2:C2"/>
    <mergeCell ref="A3:C3"/>
    <mergeCell ref="B174:C174"/>
    <mergeCell ref="B175:C17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zoomScale="120" zoomScaleNormal="120" workbookViewId="0">
      <selection activeCell="B13" sqref="B13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229</v>
      </c>
      <c r="B3" s="143"/>
      <c r="C3" s="143"/>
    </row>
    <row r="4" spans="1:3" ht="15.75" thickBot="1" x14ac:dyDescent="0.3">
      <c r="A4" s="58"/>
      <c r="B4" s="5" t="s">
        <v>1</v>
      </c>
      <c r="C4" s="134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3039354</v>
      </c>
      <c r="C7" s="66" t="s">
        <v>196</v>
      </c>
    </row>
    <row r="8" spans="1:3" x14ac:dyDescent="0.25">
      <c r="A8" s="8" t="s">
        <v>10</v>
      </c>
      <c r="B8" s="2">
        <v>46304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14500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3288308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2550130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128982</v>
      </c>
      <c r="C32" s="68"/>
    </row>
    <row r="33" spans="1:3" x14ac:dyDescent="0.25">
      <c r="A33" s="69" t="s">
        <v>24</v>
      </c>
      <c r="B33" s="9">
        <v>2600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14190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9750</v>
      </c>
      <c r="C38" s="59" t="s">
        <v>199</v>
      </c>
    </row>
    <row r="39" spans="1:3" x14ac:dyDescent="0.25">
      <c r="A39" s="52" t="s">
        <v>30</v>
      </c>
      <c r="B39" s="9">
        <v>592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8600</v>
      </c>
      <c r="C41" s="59" t="s">
        <v>196</v>
      </c>
    </row>
    <row r="42" spans="1:3" x14ac:dyDescent="0.25">
      <c r="A42" s="52" t="s">
        <v>33</v>
      </c>
      <c r="B42" s="9">
        <v>9750</v>
      </c>
      <c r="C42" s="59" t="s">
        <v>199</v>
      </c>
    </row>
    <row r="43" spans="1:3" x14ac:dyDescent="0.25">
      <c r="A43" s="52" t="s">
        <v>34</v>
      </c>
      <c r="B43" s="9">
        <v>5370</v>
      </c>
      <c r="C43" s="59" t="s">
        <v>196</v>
      </c>
    </row>
    <row r="44" spans="1:3" x14ac:dyDescent="0.25">
      <c r="A44" s="52" t="s">
        <v>35</v>
      </c>
      <c r="B44" s="9">
        <v>3500</v>
      </c>
      <c r="C44" s="59" t="s">
        <v>196</v>
      </c>
    </row>
    <row r="45" spans="1:3" x14ac:dyDescent="0.25">
      <c r="A45" s="52" t="s">
        <v>36</v>
      </c>
      <c r="B45" s="9">
        <v>1450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810</v>
      </c>
      <c r="C48" s="59" t="s">
        <v>196</v>
      </c>
    </row>
    <row r="49" spans="1:3" x14ac:dyDescent="0.25">
      <c r="A49" s="52" t="s">
        <v>40</v>
      </c>
      <c r="B49" s="9">
        <v>610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2520</v>
      </c>
      <c r="C51" s="59" t="s">
        <v>196</v>
      </c>
    </row>
    <row r="52" spans="1:3" x14ac:dyDescent="0.25">
      <c r="A52" s="52" t="s">
        <v>43</v>
      </c>
      <c r="B52" s="9">
        <v>600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39742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4600</v>
      </c>
      <c r="C71" s="59" t="s">
        <v>196</v>
      </c>
    </row>
    <row r="72" spans="1:3" x14ac:dyDescent="0.25">
      <c r="A72" s="8" t="s">
        <v>61</v>
      </c>
      <c r="B72" s="2">
        <v>6390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180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9200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14546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3800</v>
      </c>
      <c r="C95" s="59" t="s">
        <v>198</v>
      </c>
    </row>
    <row r="96" spans="1:3" x14ac:dyDescent="0.25">
      <c r="A96" s="8" t="s">
        <v>84</v>
      </c>
      <c r="B96" s="9">
        <v>4246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48379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1720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2472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3220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15540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2110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5376</v>
      </c>
      <c r="C119" s="59" t="s">
        <v>201</v>
      </c>
    </row>
    <row r="120" spans="1:3" x14ac:dyDescent="0.25">
      <c r="A120" s="23" t="s">
        <v>105</v>
      </c>
      <c r="B120" s="9">
        <v>2150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1800</v>
      </c>
      <c r="C123" s="59" t="s">
        <v>196</v>
      </c>
    </row>
    <row r="124" spans="1:3" ht="15.75" thickBot="1" x14ac:dyDescent="0.3">
      <c r="A124" s="41" t="s">
        <v>109</v>
      </c>
      <c r="B124" s="45">
        <v>257208</v>
      </c>
      <c r="C124" s="59"/>
    </row>
    <row r="125" spans="1:3" x14ac:dyDescent="0.25">
      <c r="A125" s="6" t="s">
        <v>110</v>
      </c>
      <c r="B125" s="9">
        <v>11250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50</v>
      </c>
      <c r="C129" s="59" t="s">
        <v>8</v>
      </c>
    </row>
    <row r="130" spans="1:3" x14ac:dyDescent="0.25">
      <c r="A130" s="8" t="s">
        <v>114</v>
      </c>
      <c r="B130" s="9">
        <v>100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1134</v>
      </c>
      <c r="C133" s="59" t="s">
        <v>205</v>
      </c>
    </row>
    <row r="134" spans="1:3" x14ac:dyDescent="0.25">
      <c r="A134" s="8" t="s">
        <v>117</v>
      </c>
      <c r="B134" s="9">
        <v>1470</v>
      </c>
      <c r="C134" s="59" t="s">
        <v>196</v>
      </c>
    </row>
    <row r="135" spans="1:3" x14ac:dyDescent="0.25">
      <c r="A135" s="23" t="s">
        <v>118</v>
      </c>
      <c r="B135" s="9">
        <v>47996</v>
      </c>
      <c r="C135" s="59" t="s">
        <v>199</v>
      </c>
    </row>
    <row r="136" spans="1:3" x14ac:dyDescent="0.25">
      <c r="A136" s="8" t="s">
        <v>119</v>
      </c>
      <c r="B136" s="9">
        <v>80843</v>
      </c>
      <c r="C136" s="59" t="s">
        <v>199</v>
      </c>
    </row>
    <row r="137" spans="1:3" x14ac:dyDescent="0.25">
      <c r="A137" s="8" t="s">
        <v>155</v>
      </c>
      <c r="B137" s="9">
        <v>84511</v>
      </c>
      <c r="C137" s="59" t="s">
        <v>199</v>
      </c>
    </row>
    <row r="138" spans="1:3" x14ac:dyDescent="0.25">
      <c r="A138" s="8" t="s">
        <v>120</v>
      </c>
      <c r="B138" s="9">
        <v>1195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2010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4431</v>
      </c>
      <c r="C148" s="59" t="s">
        <v>200</v>
      </c>
    </row>
    <row r="149" spans="1:3" x14ac:dyDescent="0.25">
      <c r="A149" s="6" t="s">
        <v>128</v>
      </c>
      <c r="B149" s="9">
        <v>2000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800</v>
      </c>
      <c r="C153" s="59" t="s">
        <v>8</v>
      </c>
    </row>
    <row r="154" spans="1:3" ht="15.75" thickBot="1" x14ac:dyDescent="0.3">
      <c r="A154" s="41" t="s">
        <v>132</v>
      </c>
      <c r="B154" s="44">
        <v>500</v>
      </c>
      <c r="C154" s="59" t="s">
        <v>8</v>
      </c>
    </row>
    <row r="155" spans="1:3" ht="16.5" thickBot="1" x14ac:dyDescent="0.3">
      <c r="A155" s="29" t="s">
        <v>133</v>
      </c>
      <c r="B155" s="30">
        <v>3184592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26876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500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2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3288308</v>
      </c>
      <c r="C174" s="61"/>
    </row>
    <row r="175" spans="1:3" x14ac:dyDescent="0.25">
      <c r="B175" s="141" t="s">
        <v>174</v>
      </c>
      <c r="C175" s="141"/>
    </row>
    <row r="176" spans="1:3" x14ac:dyDescent="0.25">
      <c r="B176" s="141" t="s">
        <v>176</v>
      </c>
      <c r="C176" s="141"/>
    </row>
    <row r="177" spans="2:3" x14ac:dyDescent="0.25">
      <c r="B177" s="141"/>
      <c r="C177" s="14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" zoomScale="120" zoomScaleNormal="120" workbookViewId="0">
      <selection activeCell="J5" sqref="J5:J174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231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2429193+378192+30000+C22+C29+50000+17294+54098-15601+6601+14877+3000</f>
        <v>3039354</v>
      </c>
      <c r="D7" s="7"/>
      <c r="E7" s="9"/>
      <c r="F7" s="9"/>
      <c r="G7" s="9"/>
      <c r="H7" s="9"/>
      <c r="I7" s="63"/>
      <c r="J7" s="2">
        <f>SUM(C7:H7)</f>
        <v>3039354</v>
      </c>
    </row>
    <row r="8" spans="2:14" x14ac:dyDescent="0.25">
      <c r="B8" s="8" t="s">
        <v>10</v>
      </c>
      <c r="C8" s="71">
        <f>42413+3891</f>
        <v>46304</v>
      </c>
      <c r="D8" s="9"/>
      <c r="E8" s="63"/>
      <c r="F8" s="63"/>
      <c r="G8" s="63"/>
      <c r="H8" s="63"/>
      <c r="I8" s="63"/>
      <c r="J8" s="2">
        <f t="shared" ref="J8:J10" si="0">SUM(C8:H8)</f>
        <v>46304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3500+1550+2200+350+700</f>
        <v>8300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14500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3093958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3288308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22550+3250</f>
        <v>25800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2550130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110">
        <f>7650+9700+1000</f>
        <v>18350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18900</v>
      </c>
      <c r="M25" s="55"/>
    </row>
    <row r="26" spans="2:14" x14ac:dyDescent="0.25">
      <c r="B26" s="8" t="s">
        <v>19</v>
      </c>
      <c r="C26" s="9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05">
        <f>750+150+500+1200+3500+1000-1000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72">
        <f>5600+2000-3500+1500</f>
        <v>5600</v>
      </c>
      <c r="D28" s="72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9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124127</v>
      </c>
      <c r="D32" s="79">
        <f t="shared" ref="D32:G32" si="5">SUM(D33:D56)</f>
        <v>4855</v>
      </c>
      <c r="E32" s="79"/>
      <c r="F32" s="79"/>
      <c r="G32" s="79">
        <f t="shared" si="5"/>
        <v>0</v>
      </c>
      <c r="H32" s="79"/>
      <c r="I32" s="79"/>
      <c r="J32" s="79">
        <f>SUM(J33:J56)</f>
        <v>128982</v>
      </c>
    </row>
    <row r="33" spans="2:13" x14ac:dyDescent="0.25">
      <c r="B33" s="52" t="s">
        <v>24</v>
      </c>
      <c r="C33" s="9">
        <f>1800+350+100</f>
        <v>2250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2600</v>
      </c>
    </row>
    <row r="34" spans="2:13" x14ac:dyDescent="0.25">
      <c r="B34" s="52" t="s">
        <v>25</v>
      </c>
      <c r="C34" s="71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71">
        <f>11000+2500</f>
        <v>13500</v>
      </c>
      <c r="D35" s="71">
        <f>600-10+200-100</f>
        <v>690</v>
      </c>
      <c r="E35" s="71"/>
      <c r="F35" s="110"/>
      <c r="G35" s="71"/>
      <c r="H35" s="9"/>
      <c r="I35" s="9"/>
      <c r="J35" s="9">
        <f t="shared" si="6"/>
        <v>14190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f>18000+1000</f>
        <v>19000</v>
      </c>
      <c r="D37" s="65">
        <f>150-50</f>
        <v>100</v>
      </c>
      <c r="E37" s="65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71">
        <f>7000+800+1700</f>
        <v>9500</v>
      </c>
      <c r="D38" s="71">
        <f>200+50</f>
        <v>250</v>
      </c>
      <c r="E38" s="71"/>
      <c r="F38" s="110"/>
      <c r="G38" s="71"/>
      <c r="H38" s="9"/>
      <c r="I38" s="9"/>
      <c r="J38" s="9">
        <f t="shared" si="6"/>
        <v>9750</v>
      </c>
      <c r="M38" s="55"/>
    </row>
    <row r="39" spans="2:13" x14ac:dyDescent="0.25">
      <c r="B39" s="52" t="s">
        <v>30</v>
      </c>
      <c r="C39" s="9">
        <f>510+40+42</f>
        <v>592</v>
      </c>
      <c r="D39" s="9"/>
      <c r="E39" s="9"/>
      <c r="F39" s="9"/>
      <c r="G39" s="9"/>
      <c r="H39" s="9"/>
      <c r="I39" s="9"/>
      <c r="J39" s="9">
        <f t="shared" si="6"/>
        <v>592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f>6700+1000+900</f>
        <v>8600</v>
      </c>
      <c r="D41" s="9"/>
      <c r="E41" s="9"/>
      <c r="F41" s="9"/>
      <c r="G41" s="9"/>
      <c r="H41" s="9"/>
      <c r="I41" s="9"/>
      <c r="J41" s="9">
        <f t="shared" si="6"/>
        <v>8600</v>
      </c>
    </row>
    <row r="42" spans="2:13" x14ac:dyDescent="0.25">
      <c r="B42" s="52" t="s">
        <v>33</v>
      </c>
      <c r="C42" s="71">
        <f>6500+1100+1200</f>
        <v>8800</v>
      </c>
      <c r="D42" s="71">
        <f>2000-300-250-500</f>
        <v>950</v>
      </c>
      <c r="E42" s="71"/>
      <c r="F42" s="71"/>
      <c r="G42" s="71"/>
      <c r="H42" s="9"/>
      <c r="I42" s="9"/>
      <c r="J42" s="9">
        <f t="shared" si="6"/>
        <v>9750</v>
      </c>
    </row>
    <row r="43" spans="2:13" x14ac:dyDescent="0.25">
      <c r="B43" s="52" t="s">
        <v>34</v>
      </c>
      <c r="C43" s="9">
        <f>4500+100+770</f>
        <v>5370</v>
      </c>
      <c r="D43" s="9"/>
      <c r="E43" s="9"/>
      <c r="F43" s="9"/>
      <c r="G43" s="9"/>
      <c r="H43" s="9"/>
      <c r="I43" s="9"/>
      <c r="J43" s="9">
        <f t="shared" si="6"/>
        <v>5370</v>
      </c>
    </row>
    <row r="44" spans="2:13" x14ac:dyDescent="0.25">
      <c r="B44" s="52" t="s">
        <v>35</v>
      </c>
      <c r="C44" s="9">
        <f>2600+400+500</f>
        <v>3500</v>
      </c>
      <c r="D44" s="9"/>
      <c r="E44" s="9"/>
      <c r="F44" s="9"/>
      <c r="G44" s="9"/>
      <c r="H44" s="9"/>
      <c r="I44" s="9"/>
      <c r="J44" s="9">
        <f t="shared" si="6"/>
        <v>3500</v>
      </c>
    </row>
    <row r="45" spans="2:13" x14ac:dyDescent="0.25">
      <c r="B45" s="52" t="s">
        <v>36</v>
      </c>
      <c r="C45" s="9">
        <f>1300-150+100+200</f>
        <v>1450</v>
      </c>
      <c r="D45" s="9"/>
      <c r="E45" s="9"/>
      <c r="F45" s="9"/>
      <c r="G45" s="9"/>
      <c r="H45" s="9"/>
      <c r="I45" s="9"/>
      <c r="J45" s="9">
        <f t="shared" si="6"/>
        <v>1450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9">
        <f>350+150+200+100+10</f>
        <v>810</v>
      </c>
      <c r="D48" s="9"/>
      <c r="E48" s="9"/>
      <c r="F48" s="9"/>
      <c r="G48" s="9"/>
      <c r="H48" s="9"/>
      <c r="I48" s="9"/>
      <c r="J48" s="9">
        <f t="shared" si="6"/>
        <v>810</v>
      </c>
    </row>
    <row r="49" spans="2:10" x14ac:dyDescent="0.25">
      <c r="B49" s="52" t="s">
        <v>40</v>
      </c>
      <c r="C49" s="9">
        <f>550+50+10</f>
        <v>610</v>
      </c>
      <c r="D49" s="9"/>
      <c r="E49" s="9"/>
      <c r="F49" s="9"/>
      <c r="G49" s="9"/>
      <c r="H49" s="9"/>
      <c r="I49" s="9"/>
      <c r="J49" s="9">
        <f t="shared" si="6"/>
        <v>610</v>
      </c>
    </row>
    <row r="50" spans="2:10" x14ac:dyDescent="0.25">
      <c r="B50" s="52" t="s">
        <v>41</v>
      </c>
      <c r="C50" s="65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65">
        <f>1200+350+600+370</f>
        <v>2520</v>
      </c>
      <c r="D51" s="9"/>
      <c r="E51" s="9"/>
      <c r="F51" s="9"/>
      <c r="G51" s="9"/>
      <c r="H51" s="9"/>
      <c r="I51" s="9"/>
      <c r="J51" s="9">
        <f t="shared" si="6"/>
        <v>2520</v>
      </c>
    </row>
    <row r="52" spans="2:10" x14ac:dyDescent="0.25">
      <c r="B52" s="52" t="s">
        <v>43</v>
      </c>
      <c r="C52" s="9"/>
      <c r="D52" s="9">
        <f>400+200</f>
        <v>600</v>
      </c>
      <c r="E52" s="9"/>
      <c r="F52" s="9"/>
      <c r="G52" s="9"/>
      <c r="H52" s="9"/>
      <c r="I52" s="9"/>
      <c r="J52" s="9">
        <f t="shared" si="6"/>
        <v>600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7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9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9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25870</v>
      </c>
      <c r="D67" s="42">
        <f>SUM(D68:D91)</f>
        <v>9870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39742</v>
      </c>
    </row>
    <row r="68" spans="2:10" x14ac:dyDescent="0.25">
      <c r="B68" s="14" t="s">
        <v>162</v>
      </c>
      <c r="C68" s="7"/>
      <c r="D68" s="7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7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9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f>4000+600</f>
        <v>4600</v>
      </c>
      <c r="D71" s="9"/>
      <c r="E71" s="63"/>
      <c r="F71" s="63"/>
      <c r="G71" s="63"/>
      <c r="H71" s="63"/>
      <c r="I71" s="63"/>
      <c r="J71" s="2">
        <f t="shared" si="11"/>
        <v>4600</v>
      </c>
    </row>
    <row r="72" spans="2:10" x14ac:dyDescent="0.25">
      <c r="B72" s="8" t="s">
        <v>61</v>
      </c>
      <c r="C72" s="65">
        <f>5000-1000+2390</f>
        <v>6390</v>
      </c>
      <c r="D72" s="9"/>
      <c r="E72" s="63"/>
      <c r="F72" s="63"/>
      <c r="G72" s="63"/>
      <c r="H72" s="63"/>
      <c r="I72" s="63"/>
      <c r="J72" s="2">
        <f t="shared" si="11"/>
        <v>6390</v>
      </c>
    </row>
    <row r="73" spans="2:10" x14ac:dyDescent="0.25">
      <c r="B73" s="8" t="s">
        <v>62</v>
      </c>
      <c r="C73" s="9"/>
      <c r="D73" s="65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71">
        <f>5500-500+500</f>
        <v>5500</v>
      </c>
      <c r="D74" s="71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100+50+30</f>
        <v>180</v>
      </c>
      <c r="D80" s="9"/>
      <c r="E80" s="63"/>
      <c r="F80" s="63"/>
      <c r="G80" s="63"/>
      <c r="H80" s="63"/>
      <c r="I80" s="63"/>
      <c r="J80" s="2">
        <f t="shared" si="11"/>
        <v>180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f>5500+2700+1000</f>
        <v>9200</v>
      </c>
      <c r="D88" s="9"/>
      <c r="E88" s="63"/>
      <c r="F88" s="63"/>
      <c r="G88" s="63"/>
      <c r="H88" s="63"/>
      <c r="I88" s="63"/>
      <c r="J88" s="2">
        <f t="shared" si="11"/>
        <v>9200</v>
      </c>
    </row>
    <row r="89" spans="2:10" x14ac:dyDescent="0.25">
      <c r="B89" s="8" t="s">
        <v>78</v>
      </c>
      <c r="C89" s="9"/>
      <c r="D89" s="9">
        <f>650+300-300</f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9580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14546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2300+1500-1000</f>
        <v>2800</v>
      </c>
      <c r="E95" s="63"/>
      <c r="F95" s="63"/>
      <c r="G95" s="63">
        <v>1000</v>
      </c>
      <c r="H95" s="63"/>
      <c r="I95" s="63"/>
      <c r="J95" s="9">
        <f>SUM(C95:H95)</f>
        <v>3800</v>
      </c>
    </row>
    <row r="96" spans="2:10" x14ac:dyDescent="0.25">
      <c r="B96" s="8" t="s">
        <v>84</v>
      </c>
      <c r="C96" s="9">
        <f>500+150+200+50</f>
        <v>900</v>
      </c>
      <c r="D96" s="9">
        <f>2100+500-300</f>
        <v>2300</v>
      </c>
      <c r="E96" s="63"/>
      <c r="F96" s="63"/>
      <c r="G96" s="63">
        <f>1101-54-1</f>
        <v>1046</v>
      </c>
      <c r="H96" s="63"/>
      <c r="I96" s="63"/>
      <c r="J96" s="9">
        <f t="shared" si="13"/>
        <v>4246</v>
      </c>
    </row>
    <row r="97" spans="2:12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2" ht="15.75" thickBot="1" x14ac:dyDescent="0.3">
      <c r="B98" s="12" t="s">
        <v>86</v>
      </c>
      <c r="C98" s="1"/>
      <c r="D98" s="72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  <c r="L98" s="55"/>
    </row>
    <row r="99" spans="2:12" ht="15.75" thickBot="1" x14ac:dyDescent="0.3">
      <c r="B99" s="41" t="s">
        <v>87</v>
      </c>
      <c r="C99" s="45">
        <f>SUM(C100:C123)</f>
        <v>43508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48379</v>
      </c>
    </row>
    <row r="100" spans="2:12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2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2" x14ac:dyDescent="0.25">
      <c r="B102" s="8" t="s">
        <v>146</v>
      </c>
      <c r="C102" s="65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2" x14ac:dyDescent="0.25">
      <c r="B103" s="8" t="s">
        <v>90</v>
      </c>
      <c r="C103" s="71">
        <f>200+1000</f>
        <v>1200</v>
      </c>
      <c r="D103" s="65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2" x14ac:dyDescent="0.25">
      <c r="B104" s="8" t="s">
        <v>91</v>
      </c>
      <c r="C104" s="65">
        <f>1200+50+470</f>
        <v>1720</v>
      </c>
      <c r="D104" s="9"/>
      <c r="E104" s="9"/>
      <c r="F104" s="9"/>
      <c r="G104" s="9"/>
      <c r="H104" s="9"/>
      <c r="I104" s="9"/>
      <c r="J104" s="9">
        <f t="shared" si="15"/>
        <v>1720</v>
      </c>
    </row>
    <row r="105" spans="2:12" x14ac:dyDescent="0.25">
      <c r="B105" s="8" t="s">
        <v>92</v>
      </c>
      <c r="C105" s="71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2" x14ac:dyDescent="0.25">
      <c r="B106" s="8" t="s">
        <v>93</v>
      </c>
      <c r="C106" s="65">
        <f>1800+109+33+510</f>
        <v>2452</v>
      </c>
      <c r="D106" s="9">
        <v>20</v>
      </c>
      <c r="E106" s="9"/>
      <c r="F106" s="9"/>
      <c r="G106" s="9"/>
      <c r="H106" s="9"/>
      <c r="I106" s="9"/>
      <c r="J106" s="9">
        <f t="shared" si="15"/>
        <v>2472</v>
      </c>
    </row>
    <row r="107" spans="2:12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2" x14ac:dyDescent="0.25">
      <c r="B108" s="8" t="s">
        <v>94</v>
      </c>
      <c r="C108" s="71">
        <f>1200+1100+800+120</f>
        <v>3220</v>
      </c>
      <c r="D108" s="9"/>
      <c r="E108" s="9"/>
      <c r="F108" s="9"/>
      <c r="G108" s="9"/>
      <c r="H108" s="9"/>
      <c r="I108" s="9"/>
      <c r="J108" s="9">
        <f t="shared" si="15"/>
        <v>3220</v>
      </c>
    </row>
    <row r="109" spans="2:12" x14ac:dyDescent="0.25">
      <c r="B109" s="8" t="s">
        <v>95</v>
      </c>
      <c r="C109" s="71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2" x14ac:dyDescent="0.25">
      <c r="B110" s="8" t="s">
        <v>96</v>
      </c>
      <c r="C110" s="65">
        <f>8000+1550+1800+3000+490+700</f>
        <v>15540</v>
      </c>
      <c r="D110" s="9"/>
      <c r="E110" s="9"/>
      <c r="F110" s="9"/>
      <c r="G110" s="9"/>
      <c r="H110" s="9"/>
      <c r="I110" s="9"/>
      <c r="J110" s="9">
        <f t="shared" si="15"/>
        <v>15540</v>
      </c>
    </row>
    <row r="111" spans="2:12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2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1200+130+780</f>
        <v>2110</v>
      </c>
      <c r="D113" s="9"/>
      <c r="E113" s="9"/>
      <c r="F113" s="9"/>
      <c r="G113" s="9"/>
      <c r="H113" s="9"/>
      <c r="I113" s="9"/>
      <c r="J113" s="9">
        <f t="shared" si="15"/>
        <v>2110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3500-100+1200+275</f>
        <v>4875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5376</v>
      </c>
    </row>
    <row r="120" spans="2:14" x14ac:dyDescent="0.25">
      <c r="B120" s="23" t="s">
        <v>105</v>
      </c>
      <c r="C120" s="9">
        <f>2000-50+200</f>
        <v>2150</v>
      </c>
      <c r="D120" s="9"/>
      <c r="E120" s="9"/>
      <c r="F120" s="9"/>
      <c r="G120" s="9"/>
      <c r="H120" s="9"/>
      <c r="I120" s="9"/>
      <c r="J120" s="9">
        <f t="shared" si="15"/>
        <v>2150</v>
      </c>
    </row>
    <row r="121" spans="2:14" x14ac:dyDescent="0.25">
      <c r="B121" s="8" t="s">
        <v>106</v>
      </c>
      <c r="C121" s="9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800+100+300+300+300</f>
        <v>1800</v>
      </c>
      <c r="D123" s="1"/>
      <c r="E123" s="1"/>
      <c r="F123" s="1"/>
      <c r="G123" s="1"/>
      <c r="H123" s="36"/>
      <c r="I123" s="36"/>
      <c r="J123" s="9">
        <f t="shared" si="15"/>
        <v>1800</v>
      </c>
    </row>
    <row r="124" spans="2:14" ht="15.75" thickBot="1" x14ac:dyDescent="0.3">
      <c r="B124" s="41" t="s">
        <v>109</v>
      </c>
      <c r="C124" s="45">
        <f>SUM(C125:C145)</f>
        <v>251082</v>
      </c>
      <c r="D124" s="45">
        <f t="shared" ref="D124:G124" si="16">SUM(D125:D145)</f>
        <v>5200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257208</v>
      </c>
      <c r="N124" s="55"/>
    </row>
    <row r="125" spans="2:14" x14ac:dyDescent="0.25">
      <c r="B125" s="6" t="s">
        <v>110</v>
      </c>
      <c r="C125" s="73">
        <f>8900-383-500+2100+500</f>
        <v>10617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11250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f>100-50</f>
        <v>50</v>
      </c>
      <c r="E129" s="9"/>
      <c r="F129" s="9"/>
      <c r="G129" s="9"/>
      <c r="H129" s="9"/>
      <c r="I129" s="9"/>
      <c r="J129" s="9">
        <f t="shared" si="17"/>
        <v>50</v>
      </c>
    </row>
    <row r="130" spans="2:12" x14ac:dyDescent="0.25">
      <c r="B130" s="8" t="s">
        <v>114</v>
      </c>
      <c r="C130" s="9"/>
      <c r="D130" s="9">
        <f>200-100</f>
        <v>100</v>
      </c>
      <c r="E130" s="9"/>
      <c r="F130" s="9"/>
      <c r="G130" s="9"/>
      <c r="H130" s="9"/>
      <c r="I130" s="9"/>
      <c r="J130" s="9">
        <f t="shared" si="17"/>
        <v>100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750+50+100+180</f>
        <v>1080</v>
      </c>
      <c r="D133" s="9"/>
      <c r="E133" s="9"/>
      <c r="F133" s="9"/>
      <c r="G133" s="9">
        <v>54</v>
      </c>
      <c r="H133" s="9"/>
      <c r="I133" s="9"/>
      <c r="J133" s="9">
        <f t="shared" si="17"/>
        <v>1134</v>
      </c>
    </row>
    <row r="134" spans="2:12" x14ac:dyDescent="0.25">
      <c r="B134" s="8" t="s">
        <v>117</v>
      </c>
      <c r="C134" s="9">
        <f>1100+370</f>
        <v>1470</v>
      </c>
      <c r="D134" s="9"/>
      <c r="E134" s="9"/>
      <c r="F134" s="9"/>
      <c r="G134" s="9"/>
      <c r="H134" s="9"/>
      <c r="I134" s="9"/>
      <c r="J134" s="9">
        <f t="shared" si="17"/>
        <v>1470</v>
      </c>
    </row>
    <row r="135" spans="2:12" x14ac:dyDescent="0.25">
      <c r="B135" s="23" t="s">
        <v>118</v>
      </c>
      <c r="C135" s="71">
        <f>26514+5000+13482+2000</f>
        <v>46996</v>
      </c>
      <c r="D135" s="9">
        <f>900-100+200</f>
        <v>1000</v>
      </c>
      <c r="E135" s="9"/>
      <c r="F135" s="9"/>
      <c r="G135" s="9"/>
      <c r="H135" s="9"/>
      <c r="I135" s="9"/>
      <c r="J135" s="9">
        <f t="shared" si="17"/>
        <v>47996</v>
      </c>
      <c r="L135" s="55"/>
    </row>
    <row r="136" spans="2:12" x14ac:dyDescent="0.25">
      <c r="B136" s="8" t="s">
        <v>119</v>
      </c>
      <c r="C136" s="65">
        <f>53648+17294+5000+4601</f>
        <v>80543</v>
      </c>
      <c r="D136" s="9">
        <f>500-200</f>
        <v>300</v>
      </c>
      <c r="E136" s="9"/>
      <c r="F136" s="9"/>
      <c r="G136" s="9"/>
      <c r="H136" s="65"/>
      <c r="I136" s="65"/>
      <c r="J136" s="9">
        <f t="shared" si="17"/>
        <v>80843</v>
      </c>
    </row>
    <row r="137" spans="2:12" x14ac:dyDescent="0.25">
      <c r="B137" s="8" t="s">
        <v>155</v>
      </c>
      <c r="C137" s="65">
        <f>43993+3200+30000+4118+3000</f>
        <v>84311</v>
      </c>
      <c r="D137" s="9">
        <f>500-300</f>
        <v>200</v>
      </c>
      <c r="E137" s="9"/>
      <c r="F137" s="9"/>
      <c r="G137" s="9"/>
      <c r="H137" s="9"/>
      <c r="I137" s="9"/>
      <c r="J137" s="9">
        <f t="shared" si="17"/>
        <v>84511</v>
      </c>
    </row>
    <row r="138" spans="2:12" x14ac:dyDescent="0.25">
      <c r="B138" s="8" t="s">
        <v>120</v>
      </c>
      <c r="C138" s="88">
        <f>500-50</f>
        <v>450</v>
      </c>
      <c r="D138" s="82">
        <f>500-200</f>
        <v>300</v>
      </c>
      <c r="E138" s="82"/>
      <c r="F138" s="82">
        <v>445</v>
      </c>
      <c r="G138" s="82"/>
      <c r="H138" s="13"/>
      <c r="I138" s="13"/>
      <c r="J138" s="9">
        <f t="shared" si="17"/>
        <v>1195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1800-600+400-400+150+660</f>
        <v>2010</v>
      </c>
      <c r="D140" s="9"/>
      <c r="E140" s="9"/>
      <c r="F140" s="9"/>
      <c r="G140" s="9"/>
      <c r="H140" s="9"/>
      <c r="I140" s="9"/>
      <c r="J140" s="9">
        <f t="shared" si="17"/>
        <v>2010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2020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4431</v>
      </c>
    </row>
    <row r="149" spans="2:10" x14ac:dyDescent="0.25">
      <c r="B149" s="6" t="s">
        <v>128</v>
      </c>
      <c r="C149" s="7">
        <f>1700+100+300-100</f>
        <v>2000</v>
      </c>
      <c r="D149" s="7"/>
      <c r="E149" s="7"/>
      <c r="F149" s="7"/>
      <c r="G149" s="7"/>
      <c r="H149" s="7"/>
      <c r="I149" s="7"/>
      <c r="J149" s="9">
        <f>SUM(C149:D149)</f>
        <v>2000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43">
        <f>1000-100+100-200</f>
        <v>800</v>
      </c>
      <c r="E153" s="43"/>
      <c r="F153" s="43"/>
      <c r="G153" s="43"/>
      <c r="H153" s="77"/>
      <c r="I153" s="97"/>
      <c r="J153" s="44">
        <f>SUM(C153:D153)</f>
        <v>800</v>
      </c>
    </row>
    <row r="154" spans="2:10" ht="15.75" thickBot="1" x14ac:dyDescent="0.3">
      <c r="B154" s="41" t="s">
        <v>132</v>
      </c>
      <c r="C154" s="42"/>
      <c r="D154" s="43">
        <f>700-200</f>
        <v>500</v>
      </c>
      <c r="E154" s="43"/>
      <c r="F154" s="43"/>
      <c r="G154" s="43"/>
      <c r="H154" s="77"/>
      <c r="I154" s="97"/>
      <c r="J154" s="44">
        <f>SUM(C154:D154)</f>
        <v>500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3093958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3184592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f>500+50</f>
        <v>550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26876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f>250-50</f>
        <v>200</v>
      </c>
      <c r="E170" s="63"/>
      <c r="F170" s="63"/>
      <c r="G170" s="63">
        <v>300</v>
      </c>
      <c r="H170" s="75"/>
      <c r="I170" s="75"/>
      <c r="J170" s="2">
        <f t="shared" si="22"/>
        <v>500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3093958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3288308</v>
      </c>
      <c r="N174" s="55"/>
    </row>
    <row r="175" spans="1:14" ht="54" customHeight="1" x14ac:dyDescent="0.25">
      <c r="A175" s="81"/>
      <c r="B175" s="140" t="s">
        <v>232</v>
      </c>
      <c r="C175" s="140"/>
      <c r="D175" s="140"/>
      <c r="E175" s="140"/>
      <c r="F175" s="140"/>
      <c r="G175" s="140"/>
      <c r="H175" s="140"/>
      <c r="I175" s="140"/>
      <c r="J175" s="140"/>
    </row>
    <row r="176" spans="1:14" ht="15" customHeight="1" x14ac:dyDescent="0.25">
      <c r="D176" s="141" t="s">
        <v>174</v>
      </c>
      <c r="E176" s="141"/>
      <c r="F176" s="141"/>
      <c r="G176" s="141"/>
      <c r="H176" s="141"/>
      <c r="I176" s="141"/>
      <c r="J176" s="141"/>
    </row>
    <row r="177" spans="3:10" ht="1.5" hidden="1" customHeight="1" x14ac:dyDescent="0.25">
      <c r="D177" s="141" t="s">
        <v>175</v>
      </c>
      <c r="E177" s="141"/>
      <c r="F177" s="141"/>
      <c r="G177" s="141"/>
      <c r="H177" s="141"/>
      <c r="I177" s="141"/>
      <c r="J177" s="141"/>
    </row>
    <row r="178" spans="3:10" hidden="1" x14ac:dyDescent="0.25">
      <c r="C178" s="55"/>
      <c r="D178" s="141"/>
      <c r="E178" s="141"/>
      <c r="F178" s="141"/>
      <c r="G178" s="141"/>
      <c r="H178" s="141"/>
      <c r="I178" s="141"/>
      <c r="J178" s="14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231</v>
      </c>
      <c r="B3" s="143"/>
      <c r="C3" s="143"/>
    </row>
    <row r="4" spans="1:3" ht="15.75" thickBot="1" x14ac:dyDescent="0.3">
      <c r="A4" s="58"/>
      <c r="B4" s="5" t="s">
        <v>1</v>
      </c>
      <c r="C4" s="135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3039354</v>
      </c>
      <c r="C7" s="66" t="s">
        <v>196</v>
      </c>
    </row>
    <row r="8" spans="1:3" x14ac:dyDescent="0.25">
      <c r="A8" s="8" t="s">
        <v>10</v>
      </c>
      <c r="B8" s="2">
        <v>46304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14500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3288308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2550130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18900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128982</v>
      </c>
      <c r="C32" s="68"/>
    </row>
    <row r="33" spans="1:3" x14ac:dyDescent="0.25">
      <c r="A33" s="69" t="s">
        <v>24</v>
      </c>
      <c r="B33" s="9">
        <v>2600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14190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9750</v>
      </c>
      <c r="C38" s="59" t="s">
        <v>199</v>
      </c>
    </row>
    <row r="39" spans="1:3" x14ac:dyDescent="0.25">
      <c r="A39" s="52" t="s">
        <v>30</v>
      </c>
      <c r="B39" s="9">
        <v>592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8600</v>
      </c>
      <c r="C41" s="59" t="s">
        <v>196</v>
      </c>
    </row>
    <row r="42" spans="1:3" x14ac:dyDescent="0.25">
      <c r="A42" s="52" t="s">
        <v>33</v>
      </c>
      <c r="B42" s="9">
        <v>9750</v>
      </c>
      <c r="C42" s="59" t="s">
        <v>199</v>
      </c>
    </row>
    <row r="43" spans="1:3" x14ac:dyDescent="0.25">
      <c r="A43" s="52" t="s">
        <v>34</v>
      </c>
      <c r="B43" s="9">
        <v>5370</v>
      </c>
      <c r="C43" s="59" t="s">
        <v>196</v>
      </c>
    </row>
    <row r="44" spans="1:3" x14ac:dyDescent="0.25">
      <c r="A44" s="52" t="s">
        <v>35</v>
      </c>
      <c r="B44" s="9">
        <v>3500</v>
      </c>
      <c r="C44" s="59" t="s">
        <v>196</v>
      </c>
    </row>
    <row r="45" spans="1:3" x14ac:dyDescent="0.25">
      <c r="A45" s="52" t="s">
        <v>36</v>
      </c>
      <c r="B45" s="9">
        <v>1450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810</v>
      </c>
      <c r="C48" s="59" t="s">
        <v>196</v>
      </c>
    </row>
    <row r="49" spans="1:3" x14ac:dyDescent="0.25">
      <c r="A49" s="52" t="s">
        <v>40</v>
      </c>
      <c r="B49" s="9">
        <v>610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2520</v>
      </c>
      <c r="C51" s="59" t="s">
        <v>196</v>
      </c>
    </row>
    <row r="52" spans="1:3" x14ac:dyDescent="0.25">
      <c r="A52" s="52" t="s">
        <v>43</v>
      </c>
      <c r="B52" s="9">
        <v>600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39742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4600</v>
      </c>
      <c r="C71" s="59" t="s">
        <v>196</v>
      </c>
    </row>
    <row r="72" spans="1:3" x14ac:dyDescent="0.25">
      <c r="A72" s="8" t="s">
        <v>61</v>
      </c>
      <c r="B72" s="2">
        <v>6390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180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9200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14546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3800</v>
      </c>
      <c r="C95" s="59" t="s">
        <v>198</v>
      </c>
    </row>
    <row r="96" spans="1:3" x14ac:dyDescent="0.25">
      <c r="A96" s="8" t="s">
        <v>84</v>
      </c>
      <c r="B96" s="9">
        <v>4246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48379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1720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2472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3220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15540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2110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5376</v>
      </c>
      <c r="C119" s="59" t="s">
        <v>201</v>
      </c>
    </row>
    <row r="120" spans="1:3" x14ac:dyDescent="0.25">
      <c r="A120" s="23" t="s">
        <v>105</v>
      </c>
      <c r="B120" s="9">
        <v>2150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1800</v>
      </c>
      <c r="C123" s="59" t="s">
        <v>196</v>
      </c>
    </row>
    <row r="124" spans="1:3" ht="15.75" thickBot="1" x14ac:dyDescent="0.3">
      <c r="A124" s="41" t="s">
        <v>109</v>
      </c>
      <c r="B124" s="45">
        <v>257208</v>
      </c>
      <c r="C124" s="59"/>
    </row>
    <row r="125" spans="1:3" x14ac:dyDescent="0.25">
      <c r="A125" s="6" t="s">
        <v>110</v>
      </c>
      <c r="B125" s="9">
        <v>11250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50</v>
      </c>
      <c r="C129" s="59" t="s">
        <v>8</v>
      </c>
    </row>
    <row r="130" spans="1:3" x14ac:dyDescent="0.25">
      <c r="A130" s="8" t="s">
        <v>114</v>
      </c>
      <c r="B130" s="9">
        <v>100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1134</v>
      </c>
      <c r="C133" s="59" t="s">
        <v>205</v>
      </c>
    </row>
    <row r="134" spans="1:3" x14ac:dyDescent="0.25">
      <c r="A134" s="8" t="s">
        <v>117</v>
      </c>
      <c r="B134" s="9">
        <v>1470</v>
      </c>
      <c r="C134" s="59" t="s">
        <v>196</v>
      </c>
    </row>
    <row r="135" spans="1:3" x14ac:dyDescent="0.25">
      <c r="A135" s="23" t="s">
        <v>118</v>
      </c>
      <c r="B135" s="9">
        <v>47996</v>
      </c>
      <c r="C135" s="59" t="s">
        <v>199</v>
      </c>
    </row>
    <row r="136" spans="1:3" x14ac:dyDescent="0.25">
      <c r="A136" s="8" t="s">
        <v>119</v>
      </c>
      <c r="B136" s="9">
        <v>80843</v>
      </c>
      <c r="C136" s="59" t="s">
        <v>199</v>
      </c>
    </row>
    <row r="137" spans="1:3" x14ac:dyDescent="0.25">
      <c r="A137" s="8" t="s">
        <v>155</v>
      </c>
      <c r="B137" s="9">
        <v>84511</v>
      </c>
      <c r="C137" s="59" t="s">
        <v>199</v>
      </c>
    </row>
    <row r="138" spans="1:3" x14ac:dyDescent="0.25">
      <c r="A138" s="8" t="s">
        <v>120</v>
      </c>
      <c r="B138" s="9">
        <v>1195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2010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4431</v>
      </c>
      <c r="C148" s="59" t="s">
        <v>200</v>
      </c>
    </row>
    <row r="149" spans="1:3" x14ac:dyDescent="0.25">
      <c r="A149" s="6" t="s">
        <v>128</v>
      </c>
      <c r="B149" s="9">
        <v>2000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800</v>
      </c>
      <c r="C153" s="59" t="s">
        <v>8</v>
      </c>
    </row>
    <row r="154" spans="1:3" ht="15.75" thickBot="1" x14ac:dyDescent="0.3">
      <c r="A154" s="41" t="s">
        <v>132</v>
      </c>
      <c r="B154" s="44">
        <v>500</v>
      </c>
      <c r="C154" s="59" t="s">
        <v>8</v>
      </c>
    </row>
    <row r="155" spans="1:3" ht="16.5" thickBot="1" x14ac:dyDescent="0.3">
      <c r="A155" s="29" t="s">
        <v>133</v>
      </c>
      <c r="B155" s="30">
        <v>3184592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26876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500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2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3288308</v>
      </c>
      <c r="C174" s="61"/>
    </row>
    <row r="175" spans="1:3" x14ac:dyDescent="0.25">
      <c r="B175" s="141" t="s">
        <v>174</v>
      </c>
      <c r="C175" s="141"/>
    </row>
    <row r="176" spans="1:3" x14ac:dyDescent="0.25">
      <c r="B176" s="141" t="s">
        <v>176</v>
      </c>
      <c r="C176" s="141"/>
    </row>
    <row r="177" spans="2:3" x14ac:dyDescent="0.25">
      <c r="B177" s="141"/>
      <c r="C177" s="14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abSelected="1" topLeftCell="B148" zoomScale="120" zoomScaleNormal="120" workbookViewId="0">
      <selection activeCell="B176" sqref="B176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0.4257812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233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2429193+378192+30000+C22+C29+50000+17294+54098-15601+6601+14877+3000</f>
        <v>3039354</v>
      </c>
      <c r="D7" s="7"/>
      <c r="E7" s="9"/>
      <c r="F7" s="9"/>
      <c r="G7" s="9"/>
      <c r="H7" s="9"/>
      <c r="I7" s="63"/>
      <c r="J7" s="2">
        <f>SUM(C7:H7)</f>
        <v>3039354</v>
      </c>
    </row>
    <row r="8" spans="2:14" x14ac:dyDescent="0.25">
      <c r="B8" s="8" t="s">
        <v>10</v>
      </c>
      <c r="C8" s="71">
        <f>42413+3891</f>
        <v>46304</v>
      </c>
      <c r="D8" s="9"/>
      <c r="E8" s="63"/>
      <c r="F8" s="63"/>
      <c r="G8" s="63"/>
      <c r="H8" s="63"/>
      <c r="I8" s="63"/>
      <c r="J8" s="2">
        <f t="shared" ref="J8:J10" si="0">SUM(C8:H8)</f>
        <v>46304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3500+1550+2200+350+700</f>
        <v>8300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14500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3093958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3288308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22550+3250</f>
        <v>25800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2550130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7650+9700+1000</f>
        <v>18350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18900</v>
      </c>
      <c r="M25" s="55"/>
    </row>
    <row r="26" spans="2:14" x14ac:dyDescent="0.25">
      <c r="B26" s="8" t="s">
        <v>19</v>
      </c>
      <c r="C26" s="9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750+150+500+1200+3500+1000-1000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72">
        <f>5600+2000-3500+1500</f>
        <v>5600</v>
      </c>
      <c r="D28" s="72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9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124127</v>
      </c>
      <c r="D32" s="79">
        <f t="shared" ref="D32:G32" si="5">SUM(D33:D56)</f>
        <v>4855</v>
      </c>
      <c r="E32" s="79"/>
      <c r="F32" s="79"/>
      <c r="G32" s="79">
        <f t="shared" si="5"/>
        <v>0</v>
      </c>
      <c r="H32" s="79"/>
      <c r="I32" s="79"/>
      <c r="J32" s="79">
        <f>SUM(J33:J56)</f>
        <v>128982</v>
      </c>
    </row>
    <row r="33" spans="2:13" x14ac:dyDescent="0.25">
      <c r="B33" s="52" t="s">
        <v>24</v>
      </c>
      <c r="C33" s="9">
        <f>1800+350+100</f>
        <v>2250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2600</v>
      </c>
    </row>
    <row r="34" spans="2:13" x14ac:dyDescent="0.25">
      <c r="B34" s="52" t="s">
        <v>25</v>
      </c>
      <c r="C34" s="71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71">
        <f>11000+2500</f>
        <v>13500</v>
      </c>
      <c r="D35" s="71">
        <f>600-10+200-100</f>
        <v>690</v>
      </c>
      <c r="E35" s="71"/>
      <c r="F35" s="110"/>
      <c r="G35" s="71"/>
      <c r="H35" s="9"/>
      <c r="I35" s="9"/>
      <c r="J35" s="9">
        <f t="shared" si="6"/>
        <v>14190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f>18000+1000</f>
        <v>19000</v>
      </c>
      <c r="D37" s="65">
        <f>150-50</f>
        <v>100</v>
      </c>
      <c r="E37" s="65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71">
        <f>7000+800+1700</f>
        <v>9500</v>
      </c>
      <c r="D38" s="71">
        <f>200+50</f>
        <v>250</v>
      </c>
      <c r="E38" s="71"/>
      <c r="F38" s="110"/>
      <c r="G38" s="71"/>
      <c r="H38" s="9"/>
      <c r="I38" s="9"/>
      <c r="J38" s="9">
        <f t="shared" si="6"/>
        <v>9750</v>
      </c>
      <c r="M38" s="55"/>
    </row>
    <row r="39" spans="2:13" x14ac:dyDescent="0.25">
      <c r="B39" s="52" t="s">
        <v>30</v>
      </c>
      <c r="C39" s="9">
        <f>510+40+42</f>
        <v>592</v>
      </c>
      <c r="D39" s="9"/>
      <c r="E39" s="9"/>
      <c r="F39" s="9"/>
      <c r="G39" s="9"/>
      <c r="H39" s="9"/>
      <c r="I39" s="9"/>
      <c r="J39" s="9">
        <f t="shared" si="6"/>
        <v>592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f>6700+1000+900</f>
        <v>8600</v>
      </c>
      <c r="D41" s="9"/>
      <c r="E41" s="9"/>
      <c r="F41" s="9"/>
      <c r="G41" s="9"/>
      <c r="H41" s="9"/>
      <c r="I41" s="9"/>
      <c r="J41" s="9">
        <f t="shared" si="6"/>
        <v>8600</v>
      </c>
    </row>
    <row r="42" spans="2:13" x14ac:dyDescent="0.25">
      <c r="B42" s="52" t="s">
        <v>33</v>
      </c>
      <c r="C42" s="71">
        <f>6500+1100+1200</f>
        <v>8800</v>
      </c>
      <c r="D42" s="71">
        <f>2000-300-250-500</f>
        <v>950</v>
      </c>
      <c r="E42" s="71"/>
      <c r="F42" s="71"/>
      <c r="G42" s="71"/>
      <c r="H42" s="9"/>
      <c r="I42" s="9"/>
      <c r="J42" s="9">
        <f t="shared" si="6"/>
        <v>9750</v>
      </c>
    </row>
    <row r="43" spans="2:13" x14ac:dyDescent="0.25">
      <c r="B43" s="52" t="s">
        <v>34</v>
      </c>
      <c r="C43" s="9">
        <f>4500+100+770</f>
        <v>5370</v>
      </c>
      <c r="D43" s="9"/>
      <c r="E43" s="9"/>
      <c r="F43" s="9"/>
      <c r="G43" s="9"/>
      <c r="H43" s="9"/>
      <c r="I43" s="9"/>
      <c r="J43" s="9">
        <f t="shared" si="6"/>
        <v>5370</v>
      </c>
    </row>
    <row r="44" spans="2:13" x14ac:dyDescent="0.25">
      <c r="B44" s="52" t="s">
        <v>35</v>
      </c>
      <c r="C44" s="9">
        <f>2600+400+500</f>
        <v>3500</v>
      </c>
      <c r="D44" s="9"/>
      <c r="E44" s="9"/>
      <c r="F44" s="9"/>
      <c r="G44" s="9"/>
      <c r="H44" s="9"/>
      <c r="I44" s="9"/>
      <c r="J44" s="9">
        <f t="shared" si="6"/>
        <v>3500</v>
      </c>
    </row>
    <row r="45" spans="2:13" x14ac:dyDescent="0.25">
      <c r="B45" s="52" t="s">
        <v>36</v>
      </c>
      <c r="C45" s="9">
        <f>1300-150+100+200</f>
        <v>1450</v>
      </c>
      <c r="D45" s="9"/>
      <c r="E45" s="9"/>
      <c r="F45" s="9"/>
      <c r="G45" s="9"/>
      <c r="H45" s="9"/>
      <c r="I45" s="9"/>
      <c r="J45" s="9">
        <f t="shared" si="6"/>
        <v>1450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9">
        <f>350+150+200+100+10</f>
        <v>810</v>
      </c>
      <c r="D48" s="9"/>
      <c r="E48" s="9"/>
      <c r="F48" s="9"/>
      <c r="G48" s="9"/>
      <c r="H48" s="9"/>
      <c r="I48" s="9"/>
      <c r="J48" s="9">
        <f t="shared" si="6"/>
        <v>810</v>
      </c>
    </row>
    <row r="49" spans="2:10" x14ac:dyDescent="0.25">
      <c r="B49" s="52" t="s">
        <v>40</v>
      </c>
      <c r="C49" s="9">
        <f>550+50+10</f>
        <v>610</v>
      </c>
      <c r="D49" s="9"/>
      <c r="E49" s="9"/>
      <c r="F49" s="9"/>
      <c r="G49" s="9"/>
      <c r="H49" s="9"/>
      <c r="I49" s="9"/>
      <c r="J49" s="9">
        <f t="shared" si="6"/>
        <v>610</v>
      </c>
    </row>
    <row r="50" spans="2:10" x14ac:dyDescent="0.25">
      <c r="B50" s="52" t="s">
        <v>41</v>
      </c>
      <c r="C50" s="65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65">
        <f>1200+350+600+370</f>
        <v>2520</v>
      </c>
      <c r="D51" s="9"/>
      <c r="E51" s="9"/>
      <c r="F51" s="9"/>
      <c r="G51" s="9"/>
      <c r="H51" s="9"/>
      <c r="I51" s="9"/>
      <c r="J51" s="9">
        <f t="shared" si="6"/>
        <v>2520</v>
      </c>
    </row>
    <row r="52" spans="2:10" x14ac:dyDescent="0.25">
      <c r="B52" s="52" t="s">
        <v>43</v>
      </c>
      <c r="C52" s="9"/>
      <c r="D52" s="9">
        <f>400+200</f>
        <v>600</v>
      </c>
      <c r="E52" s="9"/>
      <c r="F52" s="9"/>
      <c r="G52" s="9"/>
      <c r="H52" s="9"/>
      <c r="I52" s="9"/>
      <c r="J52" s="9">
        <f t="shared" si="6"/>
        <v>600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7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9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9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25870</v>
      </c>
      <c r="D67" s="42">
        <f>SUM(D68:D91)</f>
        <v>9870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39742</v>
      </c>
    </row>
    <row r="68" spans="2:10" x14ac:dyDescent="0.25">
      <c r="B68" s="14" t="s">
        <v>162</v>
      </c>
      <c r="C68" s="7"/>
      <c r="D68" s="7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7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9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f>4000+600</f>
        <v>4600</v>
      </c>
      <c r="D71" s="9"/>
      <c r="E71" s="63"/>
      <c r="F71" s="63"/>
      <c r="G71" s="63"/>
      <c r="H71" s="63"/>
      <c r="I71" s="63"/>
      <c r="J71" s="2">
        <f t="shared" si="11"/>
        <v>4600</v>
      </c>
    </row>
    <row r="72" spans="2:10" x14ac:dyDescent="0.25">
      <c r="B72" s="8" t="s">
        <v>61</v>
      </c>
      <c r="C72" s="65">
        <f>5000-1000+2390</f>
        <v>6390</v>
      </c>
      <c r="D72" s="9"/>
      <c r="E72" s="63"/>
      <c r="F72" s="63"/>
      <c r="G72" s="63"/>
      <c r="H72" s="63"/>
      <c r="I72" s="63"/>
      <c r="J72" s="2">
        <f t="shared" si="11"/>
        <v>6390</v>
      </c>
    </row>
    <row r="73" spans="2:10" x14ac:dyDescent="0.25">
      <c r="B73" s="8" t="s">
        <v>62</v>
      </c>
      <c r="C73" s="9"/>
      <c r="D73" s="65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71">
        <f>5500-500+500</f>
        <v>5500</v>
      </c>
      <c r="D74" s="71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100+50+30</f>
        <v>180</v>
      </c>
      <c r="D80" s="9"/>
      <c r="E80" s="63"/>
      <c r="F80" s="63"/>
      <c r="G80" s="63"/>
      <c r="H80" s="63"/>
      <c r="I80" s="63"/>
      <c r="J80" s="2">
        <f t="shared" si="11"/>
        <v>180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f>5500+2700+1000</f>
        <v>9200</v>
      </c>
      <c r="D88" s="9"/>
      <c r="E88" s="63"/>
      <c r="F88" s="63"/>
      <c r="G88" s="63"/>
      <c r="H88" s="63"/>
      <c r="I88" s="63"/>
      <c r="J88" s="2">
        <f t="shared" si="11"/>
        <v>9200</v>
      </c>
    </row>
    <row r="89" spans="2:10" x14ac:dyDescent="0.25">
      <c r="B89" s="8" t="s">
        <v>78</v>
      </c>
      <c r="C89" s="9"/>
      <c r="D89" s="9">
        <f>650+300-300</f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9580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14546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2300+1500-1000</f>
        <v>2800</v>
      </c>
      <c r="E95" s="63"/>
      <c r="F95" s="63"/>
      <c r="G95" s="63">
        <v>1000</v>
      </c>
      <c r="H95" s="63"/>
      <c r="I95" s="63"/>
      <c r="J95" s="9">
        <f>SUM(C95:H95)</f>
        <v>3800</v>
      </c>
    </row>
    <row r="96" spans="2:10" x14ac:dyDescent="0.25">
      <c r="B96" s="8" t="s">
        <v>84</v>
      </c>
      <c r="C96" s="9">
        <f>500+150+200+50</f>
        <v>900</v>
      </c>
      <c r="D96" s="9">
        <f>2100+500-300</f>
        <v>2300</v>
      </c>
      <c r="E96" s="63"/>
      <c r="F96" s="63"/>
      <c r="G96" s="63">
        <f>1101-54-1</f>
        <v>1046</v>
      </c>
      <c r="H96" s="63"/>
      <c r="I96" s="63"/>
      <c r="J96" s="9">
        <f t="shared" si="13"/>
        <v>4246</v>
      </c>
    </row>
    <row r="97" spans="2:12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2" ht="15.75" thickBot="1" x14ac:dyDescent="0.3">
      <c r="B98" s="12" t="s">
        <v>86</v>
      </c>
      <c r="C98" s="1"/>
      <c r="D98" s="72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  <c r="L98" s="55"/>
    </row>
    <row r="99" spans="2:12" ht="15.75" thickBot="1" x14ac:dyDescent="0.3">
      <c r="B99" s="41" t="s">
        <v>87</v>
      </c>
      <c r="C99" s="45">
        <f>SUM(C100:C123)</f>
        <v>43508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48379</v>
      </c>
    </row>
    <row r="100" spans="2:12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2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2" x14ac:dyDescent="0.25">
      <c r="B102" s="8" t="s">
        <v>146</v>
      </c>
      <c r="C102" s="65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2" x14ac:dyDescent="0.25">
      <c r="B103" s="8" t="s">
        <v>90</v>
      </c>
      <c r="C103" s="71">
        <f>200+1000</f>
        <v>1200</v>
      </c>
      <c r="D103" s="65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2" x14ac:dyDescent="0.25">
      <c r="B104" s="8" t="s">
        <v>91</v>
      </c>
      <c r="C104" s="65">
        <f>1200+50+470</f>
        <v>1720</v>
      </c>
      <c r="D104" s="9"/>
      <c r="E104" s="9"/>
      <c r="F104" s="9"/>
      <c r="G104" s="9"/>
      <c r="H104" s="9"/>
      <c r="I104" s="9"/>
      <c r="J104" s="9">
        <f t="shared" si="15"/>
        <v>1720</v>
      </c>
    </row>
    <row r="105" spans="2:12" x14ac:dyDescent="0.25">
      <c r="B105" s="8" t="s">
        <v>92</v>
      </c>
      <c r="C105" s="71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2" x14ac:dyDescent="0.25">
      <c r="B106" s="8" t="s">
        <v>93</v>
      </c>
      <c r="C106" s="65">
        <f>1800+109+33+510</f>
        <v>2452</v>
      </c>
      <c r="D106" s="9">
        <v>20</v>
      </c>
      <c r="E106" s="9"/>
      <c r="F106" s="9"/>
      <c r="G106" s="9"/>
      <c r="H106" s="9"/>
      <c r="I106" s="9"/>
      <c r="J106" s="9">
        <f t="shared" si="15"/>
        <v>2472</v>
      </c>
    </row>
    <row r="107" spans="2:12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2" x14ac:dyDescent="0.25">
      <c r="B108" s="8" t="s">
        <v>94</v>
      </c>
      <c r="C108" s="71">
        <f>1200+1100+800+120</f>
        <v>3220</v>
      </c>
      <c r="D108" s="9"/>
      <c r="E108" s="9"/>
      <c r="F108" s="9"/>
      <c r="G108" s="9"/>
      <c r="H108" s="9"/>
      <c r="I108" s="9"/>
      <c r="J108" s="9">
        <f t="shared" si="15"/>
        <v>3220</v>
      </c>
    </row>
    <row r="109" spans="2:12" x14ac:dyDescent="0.25">
      <c r="B109" s="8" t="s">
        <v>95</v>
      </c>
      <c r="C109" s="71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2" x14ac:dyDescent="0.25">
      <c r="B110" s="8" t="s">
        <v>96</v>
      </c>
      <c r="C110" s="65">
        <f>8000+1550+1800+3000+490+700</f>
        <v>15540</v>
      </c>
      <c r="D110" s="9"/>
      <c r="E110" s="9"/>
      <c r="F110" s="9"/>
      <c r="G110" s="9"/>
      <c r="H110" s="9"/>
      <c r="I110" s="9"/>
      <c r="J110" s="9">
        <f t="shared" si="15"/>
        <v>15540</v>
      </c>
    </row>
    <row r="111" spans="2:12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2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1200+130+780</f>
        <v>2110</v>
      </c>
      <c r="D113" s="9"/>
      <c r="E113" s="9"/>
      <c r="F113" s="9"/>
      <c r="G113" s="9"/>
      <c r="H113" s="9"/>
      <c r="I113" s="9"/>
      <c r="J113" s="9">
        <f t="shared" si="15"/>
        <v>2110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3500-100+1200+275</f>
        <v>4875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5376</v>
      </c>
    </row>
    <row r="120" spans="2:14" x14ac:dyDescent="0.25">
      <c r="B120" s="23" t="s">
        <v>105</v>
      </c>
      <c r="C120" s="9">
        <f>2000-50+200</f>
        <v>2150</v>
      </c>
      <c r="D120" s="9"/>
      <c r="E120" s="9"/>
      <c r="F120" s="9"/>
      <c r="G120" s="9"/>
      <c r="H120" s="9"/>
      <c r="I120" s="9"/>
      <c r="J120" s="9">
        <f t="shared" si="15"/>
        <v>2150</v>
      </c>
    </row>
    <row r="121" spans="2:14" x14ac:dyDescent="0.25">
      <c r="B121" s="8" t="s">
        <v>106</v>
      </c>
      <c r="C121" s="9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800+100+300+300+300</f>
        <v>1800</v>
      </c>
      <c r="D123" s="1"/>
      <c r="E123" s="1"/>
      <c r="F123" s="1"/>
      <c r="G123" s="1"/>
      <c r="H123" s="36"/>
      <c r="I123" s="36"/>
      <c r="J123" s="9">
        <f t="shared" si="15"/>
        <v>1800</v>
      </c>
    </row>
    <row r="124" spans="2:14" ht="15.75" thickBot="1" x14ac:dyDescent="0.3">
      <c r="B124" s="41" t="s">
        <v>109</v>
      </c>
      <c r="C124" s="45">
        <f>SUM(C125:C145)</f>
        <v>251082</v>
      </c>
      <c r="D124" s="45">
        <f t="shared" ref="D124:G124" si="16">SUM(D125:D145)</f>
        <v>5200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257208</v>
      </c>
      <c r="N124" s="55"/>
    </row>
    <row r="125" spans="2:14" x14ac:dyDescent="0.25">
      <c r="B125" s="6" t="s">
        <v>110</v>
      </c>
      <c r="C125" s="73">
        <f>8900-383-500+2100+500</f>
        <v>10617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11250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f>100-50</f>
        <v>50</v>
      </c>
      <c r="E129" s="9"/>
      <c r="F129" s="9"/>
      <c r="G129" s="9"/>
      <c r="H129" s="9"/>
      <c r="I129" s="9"/>
      <c r="J129" s="9">
        <f t="shared" si="17"/>
        <v>50</v>
      </c>
    </row>
    <row r="130" spans="2:12" x14ac:dyDescent="0.25">
      <c r="B130" s="8" t="s">
        <v>114</v>
      </c>
      <c r="C130" s="9"/>
      <c r="D130" s="9">
        <f>200-100</f>
        <v>100</v>
      </c>
      <c r="E130" s="9"/>
      <c r="F130" s="9"/>
      <c r="G130" s="9"/>
      <c r="H130" s="9"/>
      <c r="I130" s="9"/>
      <c r="J130" s="9">
        <f t="shared" si="17"/>
        <v>100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750+50+100+180</f>
        <v>1080</v>
      </c>
      <c r="D133" s="9"/>
      <c r="E133" s="9"/>
      <c r="F133" s="9"/>
      <c r="G133" s="9">
        <v>54</v>
      </c>
      <c r="H133" s="9"/>
      <c r="I133" s="9"/>
      <c r="J133" s="9">
        <f t="shared" si="17"/>
        <v>1134</v>
      </c>
    </row>
    <row r="134" spans="2:12" x14ac:dyDescent="0.25">
      <c r="B134" s="8" t="s">
        <v>117</v>
      </c>
      <c r="C134" s="9">
        <f>1100+370</f>
        <v>1470</v>
      </c>
      <c r="D134" s="9"/>
      <c r="E134" s="9"/>
      <c r="F134" s="9"/>
      <c r="G134" s="9"/>
      <c r="H134" s="9"/>
      <c r="I134" s="9"/>
      <c r="J134" s="9">
        <f t="shared" si="17"/>
        <v>1470</v>
      </c>
    </row>
    <row r="135" spans="2:12" x14ac:dyDescent="0.25">
      <c r="B135" s="23" t="s">
        <v>118</v>
      </c>
      <c r="C135" s="71">
        <f>26514+5000+13482+2000</f>
        <v>46996</v>
      </c>
      <c r="D135" s="9">
        <f>900-100+200</f>
        <v>1000</v>
      </c>
      <c r="E135" s="9"/>
      <c r="F135" s="9"/>
      <c r="G135" s="9"/>
      <c r="H135" s="9"/>
      <c r="I135" s="9"/>
      <c r="J135" s="9">
        <f t="shared" si="17"/>
        <v>47996</v>
      </c>
      <c r="L135" s="55"/>
    </row>
    <row r="136" spans="2:12" x14ac:dyDescent="0.25">
      <c r="B136" s="8" t="s">
        <v>119</v>
      </c>
      <c r="C136" s="65">
        <f>53648+17294+5000+4601</f>
        <v>80543</v>
      </c>
      <c r="D136" s="9">
        <f>500-200</f>
        <v>300</v>
      </c>
      <c r="E136" s="9"/>
      <c r="F136" s="9"/>
      <c r="G136" s="9"/>
      <c r="H136" s="65"/>
      <c r="I136" s="65"/>
      <c r="J136" s="9">
        <f t="shared" si="17"/>
        <v>80843</v>
      </c>
    </row>
    <row r="137" spans="2:12" x14ac:dyDescent="0.25">
      <c r="B137" s="8" t="s">
        <v>155</v>
      </c>
      <c r="C137" s="65">
        <f>43993+3200+30000+4118+3000</f>
        <v>84311</v>
      </c>
      <c r="D137" s="9">
        <f>500-300</f>
        <v>200</v>
      </c>
      <c r="E137" s="9"/>
      <c r="F137" s="9"/>
      <c r="G137" s="9"/>
      <c r="H137" s="9"/>
      <c r="I137" s="9"/>
      <c r="J137" s="9">
        <f t="shared" si="17"/>
        <v>84511</v>
      </c>
    </row>
    <row r="138" spans="2:12" x14ac:dyDescent="0.25">
      <c r="B138" s="8" t="s">
        <v>120</v>
      </c>
      <c r="C138" s="88">
        <f>500-50</f>
        <v>450</v>
      </c>
      <c r="D138" s="82">
        <f>500-200</f>
        <v>300</v>
      </c>
      <c r="E138" s="82"/>
      <c r="F138" s="82">
        <v>445</v>
      </c>
      <c r="G138" s="82"/>
      <c r="H138" s="13"/>
      <c r="I138" s="13"/>
      <c r="J138" s="9">
        <f t="shared" si="17"/>
        <v>1195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1800-600+400-400+150+660</f>
        <v>2010</v>
      </c>
      <c r="D140" s="9"/>
      <c r="E140" s="9"/>
      <c r="F140" s="9"/>
      <c r="G140" s="9"/>
      <c r="H140" s="9"/>
      <c r="I140" s="9"/>
      <c r="J140" s="9">
        <f t="shared" si="17"/>
        <v>2010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137">
        <f>1090+813</f>
        <v>1903</v>
      </c>
      <c r="E146" s="87"/>
      <c r="F146" s="87"/>
      <c r="G146" s="87"/>
      <c r="H146" s="44"/>
      <c r="I146" s="70"/>
      <c r="J146" s="70">
        <f>SUM(C146:H146)</f>
        <v>1903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2020</v>
      </c>
      <c r="D148" s="79">
        <f>SUM(D149:D152)</f>
        <v>1932</v>
      </c>
      <c r="E148" s="79"/>
      <c r="F148" s="79"/>
      <c r="G148" s="79">
        <f>SUM(G149:G152)</f>
        <v>66</v>
      </c>
      <c r="H148" s="78"/>
      <c r="I148" s="93"/>
      <c r="J148" s="70">
        <f>SUM(J149:J152)</f>
        <v>4018</v>
      </c>
    </row>
    <row r="149" spans="2:10" x14ac:dyDescent="0.25">
      <c r="B149" s="6" t="s">
        <v>128</v>
      </c>
      <c r="C149" s="7">
        <f>1700+100+300-100</f>
        <v>2000</v>
      </c>
      <c r="D149" s="7"/>
      <c r="E149" s="7"/>
      <c r="F149" s="7"/>
      <c r="G149" s="7"/>
      <c r="H149" s="7"/>
      <c r="I149" s="7"/>
      <c r="J149" s="9">
        <f>SUM(C149:D149)</f>
        <v>2000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05">
        <f>300+300+1245-413</f>
        <v>1432</v>
      </c>
      <c r="E152" s="1"/>
      <c r="F152" s="1"/>
      <c r="G152" s="1"/>
      <c r="H152" s="1"/>
      <c r="I152" s="1"/>
      <c r="J152" s="9">
        <f t="shared" si="19"/>
        <v>1432</v>
      </c>
    </row>
    <row r="153" spans="2:10" ht="15.75" thickBot="1" x14ac:dyDescent="0.3">
      <c r="B153" s="49" t="s">
        <v>147</v>
      </c>
      <c r="C153" s="42"/>
      <c r="D153" s="43">
        <f>1000-100+100-200</f>
        <v>800</v>
      </c>
      <c r="E153" s="43"/>
      <c r="F153" s="43"/>
      <c r="G153" s="43"/>
      <c r="H153" s="77"/>
      <c r="I153" s="97"/>
      <c r="J153" s="44">
        <f>SUM(C153:D153)</f>
        <v>800</v>
      </c>
    </row>
    <row r="154" spans="2:10" ht="15.75" thickBot="1" x14ac:dyDescent="0.3">
      <c r="B154" s="41" t="s">
        <v>132</v>
      </c>
      <c r="C154" s="42"/>
      <c r="D154" s="133">
        <f>700-200-400</f>
        <v>100</v>
      </c>
      <c r="E154" s="43"/>
      <c r="F154" s="43"/>
      <c r="G154" s="43"/>
      <c r="H154" s="77"/>
      <c r="I154" s="97"/>
      <c r="J154" s="44">
        <f>SUM(C154:D154)</f>
        <v>100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3093958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3184592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f>500+50</f>
        <v>550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26876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f>250-50</f>
        <v>200</v>
      </c>
      <c r="E170" s="63"/>
      <c r="F170" s="63"/>
      <c r="G170" s="63">
        <v>300</v>
      </c>
      <c r="H170" s="75"/>
      <c r="I170" s="75"/>
      <c r="J170" s="2">
        <f t="shared" si="22"/>
        <v>500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3093958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3288308</v>
      </c>
      <c r="N174" s="55"/>
    </row>
    <row r="175" spans="1:14" ht="64.5" customHeight="1" x14ac:dyDescent="0.25">
      <c r="A175" s="81"/>
      <c r="B175" s="140" t="s">
        <v>234</v>
      </c>
      <c r="C175" s="140"/>
      <c r="D175" s="140"/>
      <c r="E175" s="140"/>
      <c r="F175" s="140"/>
      <c r="G175" s="140"/>
      <c r="H175" s="140"/>
      <c r="I175" s="140"/>
      <c r="J175" s="140"/>
    </row>
    <row r="176" spans="1:14" ht="15" customHeight="1" x14ac:dyDescent="0.25">
      <c r="D176" s="141" t="s">
        <v>174</v>
      </c>
      <c r="E176" s="141"/>
      <c r="F176" s="141"/>
      <c r="G176" s="141"/>
      <c r="H176" s="141"/>
      <c r="I176" s="141"/>
      <c r="J176" s="141"/>
    </row>
    <row r="177" spans="3:10" ht="1.5" hidden="1" customHeight="1" x14ac:dyDescent="0.25">
      <c r="D177" s="141" t="s">
        <v>175</v>
      </c>
      <c r="E177" s="141"/>
      <c r="F177" s="141"/>
      <c r="G177" s="141"/>
      <c r="H177" s="141"/>
      <c r="I177" s="141"/>
      <c r="J177" s="141"/>
    </row>
    <row r="178" spans="3:10" hidden="1" x14ac:dyDescent="0.25">
      <c r="C178" s="55"/>
      <c r="D178" s="141"/>
      <c r="E178" s="141"/>
      <c r="F178" s="141"/>
      <c r="G178" s="141"/>
      <c r="H178" s="141"/>
      <c r="I178" s="141"/>
      <c r="J178" s="141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233</v>
      </c>
      <c r="B3" s="143"/>
      <c r="C3" s="143"/>
    </row>
    <row r="4" spans="1:3" ht="15.75" thickBot="1" x14ac:dyDescent="0.3">
      <c r="A4" s="58"/>
      <c r="B4" s="5" t="s">
        <v>1</v>
      </c>
      <c r="C4" s="136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3039354</v>
      </c>
      <c r="C7" s="66" t="s">
        <v>196</v>
      </c>
    </row>
    <row r="8" spans="1:3" x14ac:dyDescent="0.25">
      <c r="A8" s="8" t="s">
        <v>10</v>
      </c>
      <c r="B8" s="2">
        <v>46304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14500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3288308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2550130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18900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128982</v>
      </c>
      <c r="C32" s="68"/>
    </row>
    <row r="33" spans="1:3" x14ac:dyDescent="0.25">
      <c r="A33" s="69" t="s">
        <v>24</v>
      </c>
      <c r="B33" s="9">
        <v>2600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14190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9750</v>
      </c>
      <c r="C38" s="59" t="s">
        <v>199</v>
      </c>
    </row>
    <row r="39" spans="1:3" x14ac:dyDescent="0.25">
      <c r="A39" s="52" t="s">
        <v>30</v>
      </c>
      <c r="B39" s="9">
        <v>592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8600</v>
      </c>
      <c r="C41" s="59" t="s">
        <v>196</v>
      </c>
    </row>
    <row r="42" spans="1:3" x14ac:dyDescent="0.25">
      <c r="A42" s="52" t="s">
        <v>33</v>
      </c>
      <c r="B42" s="9">
        <v>9750</v>
      </c>
      <c r="C42" s="59" t="s">
        <v>199</v>
      </c>
    </row>
    <row r="43" spans="1:3" x14ac:dyDescent="0.25">
      <c r="A43" s="52" t="s">
        <v>34</v>
      </c>
      <c r="B43" s="9">
        <v>5370</v>
      </c>
      <c r="C43" s="59" t="s">
        <v>196</v>
      </c>
    </row>
    <row r="44" spans="1:3" x14ac:dyDescent="0.25">
      <c r="A44" s="52" t="s">
        <v>35</v>
      </c>
      <c r="B44" s="9">
        <v>3500</v>
      </c>
      <c r="C44" s="59" t="s">
        <v>196</v>
      </c>
    </row>
    <row r="45" spans="1:3" x14ac:dyDescent="0.25">
      <c r="A45" s="52" t="s">
        <v>36</v>
      </c>
      <c r="B45" s="9">
        <v>1450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810</v>
      </c>
      <c r="C48" s="59" t="s">
        <v>196</v>
      </c>
    </row>
    <row r="49" spans="1:3" x14ac:dyDescent="0.25">
      <c r="A49" s="52" t="s">
        <v>40</v>
      </c>
      <c r="B49" s="9">
        <v>610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2520</v>
      </c>
      <c r="C51" s="59" t="s">
        <v>196</v>
      </c>
    </row>
    <row r="52" spans="1:3" x14ac:dyDescent="0.25">
      <c r="A52" s="52" t="s">
        <v>43</v>
      </c>
      <c r="B52" s="9">
        <v>600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39742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4600</v>
      </c>
      <c r="C71" s="59" t="s">
        <v>196</v>
      </c>
    </row>
    <row r="72" spans="1:3" x14ac:dyDescent="0.25">
      <c r="A72" s="8" t="s">
        <v>61</v>
      </c>
      <c r="B72" s="2">
        <v>6390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180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9200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14546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3800</v>
      </c>
      <c r="C95" s="59" t="s">
        <v>198</v>
      </c>
    </row>
    <row r="96" spans="1:3" x14ac:dyDescent="0.25">
      <c r="A96" s="8" t="s">
        <v>84</v>
      </c>
      <c r="B96" s="9">
        <v>4246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48379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1720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2472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3220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15540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2110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5376</v>
      </c>
      <c r="C119" s="59" t="s">
        <v>201</v>
      </c>
    </row>
    <row r="120" spans="1:3" x14ac:dyDescent="0.25">
      <c r="A120" s="23" t="s">
        <v>105</v>
      </c>
      <c r="B120" s="9">
        <v>2150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1800</v>
      </c>
      <c r="C123" s="59" t="s">
        <v>196</v>
      </c>
    </row>
    <row r="124" spans="1:3" ht="15.75" thickBot="1" x14ac:dyDescent="0.3">
      <c r="A124" s="41" t="s">
        <v>109</v>
      </c>
      <c r="B124" s="45">
        <v>257208</v>
      </c>
      <c r="C124" s="59"/>
    </row>
    <row r="125" spans="1:3" x14ac:dyDescent="0.25">
      <c r="A125" s="6" t="s">
        <v>110</v>
      </c>
      <c r="B125" s="9">
        <v>11250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50</v>
      </c>
      <c r="C129" s="59" t="s">
        <v>8</v>
      </c>
    </row>
    <row r="130" spans="1:3" x14ac:dyDescent="0.25">
      <c r="A130" s="8" t="s">
        <v>114</v>
      </c>
      <c r="B130" s="9">
        <v>100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1134</v>
      </c>
      <c r="C133" s="59" t="s">
        <v>205</v>
      </c>
    </row>
    <row r="134" spans="1:3" x14ac:dyDescent="0.25">
      <c r="A134" s="8" t="s">
        <v>117</v>
      </c>
      <c r="B134" s="9">
        <v>1470</v>
      </c>
      <c r="C134" s="59" t="s">
        <v>196</v>
      </c>
    </row>
    <row r="135" spans="1:3" x14ac:dyDescent="0.25">
      <c r="A135" s="23" t="s">
        <v>118</v>
      </c>
      <c r="B135" s="9">
        <v>47996</v>
      </c>
      <c r="C135" s="59" t="s">
        <v>199</v>
      </c>
    </row>
    <row r="136" spans="1:3" x14ac:dyDescent="0.25">
      <c r="A136" s="8" t="s">
        <v>119</v>
      </c>
      <c r="B136" s="9">
        <v>80843</v>
      </c>
      <c r="C136" s="59" t="s">
        <v>199</v>
      </c>
    </row>
    <row r="137" spans="1:3" x14ac:dyDescent="0.25">
      <c r="A137" s="8" t="s">
        <v>155</v>
      </c>
      <c r="B137" s="9">
        <v>84511</v>
      </c>
      <c r="C137" s="59" t="s">
        <v>199</v>
      </c>
    </row>
    <row r="138" spans="1:3" x14ac:dyDescent="0.25">
      <c r="A138" s="8" t="s">
        <v>120</v>
      </c>
      <c r="B138" s="9">
        <v>1195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2010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1903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4018</v>
      </c>
      <c r="C148" s="59" t="s">
        <v>200</v>
      </c>
    </row>
    <row r="149" spans="1:3" x14ac:dyDescent="0.25">
      <c r="A149" s="6" t="s">
        <v>128</v>
      </c>
      <c r="B149" s="9">
        <v>2000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1432</v>
      </c>
      <c r="C152" s="59" t="s">
        <v>8</v>
      </c>
    </row>
    <row r="153" spans="1:3" ht="15.75" thickBot="1" x14ac:dyDescent="0.3">
      <c r="A153" s="49" t="s">
        <v>147</v>
      </c>
      <c r="B153" s="44">
        <v>800</v>
      </c>
      <c r="C153" s="59" t="s">
        <v>8</v>
      </c>
    </row>
    <row r="154" spans="1:3" ht="15.75" thickBot="1" x14ac:dyDescent="0.3">
      <c r="A154" s="41" t="s">
        <v>132</v>
      </c>
      <c r="B154" s="44">
        <v>100</v>
      </c>
      <c r="C154" s="59" t="s">
        <v>8</v>
      </c>
    </row>
    <row r="155" spans="1:3" ht="16.5" thickBot="1" x14ac:dyDescent="0.3">
      <c r="A155" s="29" t="s">
        <v>133</v>
      </c>
      <c r="B155" s="30">
        <v>3184592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26876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500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2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3288308</v>
      </c>
      <c r="C174" s="61"/>
    </row>
    <row r="175" spans="1:3" x14ac:dyDescent="0.25">
      <c r="B175" s="141" t="s">
        <v>174</v>
      </c>
      <c r="C175" s="141"/>
    </row>
    <row r="176" spans="1:3" x14ac:dyDescent="0.25">
      <c r="B176" s="141" t="s">
        <v>176</v>
      </c>
      <c r="C176" s="141"/>
    </row>
    <row r="177" spans="2:3" x14ac:dyDescent="0.25">
      <c r="B177" s="141"/>
      <c r="C177" s="141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opLeftCell="B136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6" width="7.85546875" customWidth="1"/>
    <col min="7" max="7" width="8.28515625" customWidth="1"/>
    <col min="8" max="8" width="7.140625" customWidth="1"/>
    <col min="9" max="9" width="12.42578125" customWidth="1"/>
    <col min="13" max="13" width="14.7109375" customWidth="1"/>
  </cols>
  <sheetData>
    <row r="1" spans="2:13" ht="9.75" customHeight="1" x14ac:dyDescent="0.25"/>
    <row r="2" spans="2:13" x14ac:dyDescent="0.25">
      <c r="B2" s="138" t="s">
        <v>0</v>
      </c>
      <c r="C2" s="138"/>
      <c r="D2" s="138"/>
      <c r="E2" s="138"/>
      <c r="F2" s="138"/>
      <c r="G2" s="138"/>
      <c r="H2" s="138"/>
      <c r="I2" s="138"/>
    </row>
    <row r="3" spans="2:13" x14ac:dyDescent="0.25">
      <c r="B3" s="139" t="s">
        <v>192</v>
      </c>
      <c r="C3" s="139"/>
      <c r="D3" s="139"/>
      <c r="E3" s="139"/>
      <c r="F3" s="139"/>
      <c r="G3" s="139"/>
      <c r="H3" s="139"/>
      <c r="I3" s="139"/>
    </row>
    <row r="4" spans="2:13" ht="16.5" thickBot="1" x14ac:dyDescent="0.3">
      <c r="B4" s="3"/>
      <c r="C4" s="3"/>
      <c r="D4" s="3"/>
      <c r="E4" s="3"/>
      <c r="F4" s="3"/>
      <c r="G4" s="3"/>
      <c r="H4" s="3"/>
      <c r="I4" s="5" t="s">
        <v>1</v>
      </c>
    </row>
    <row r="5" spans="2:13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194</v>
      </c>
      <c r="G5" s="33" t="s">
        <v>184</v>
      </c>
      <c r="H5" s="33" t="s">
        <v>186</v>
      </c>
      <c r="I5" s="25" t="s">
        <v>5</v>
      </c>
    </row>
    <row r="6" spans="2:13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193</v>
      </c>
      <c r="G6" s="74">
        <v>15</v>
      </c>
      <c r="H6" s="100">
        <v>17</v>
      </c>
      <c r="I6" s="28"/>
    </row>
    <row r="7" spans="2:13" x14ac:dyDescent="0.25">
      <c r="B7" s="6" t="s">
        <v>9</v>
      </c>
      <c r="C7" s="110">
        <f>2429193+378192+25000+C22+C29+50000+17294</f>
        <v>2958829</v>
      </c>
      <c r="D7" s="7"/>
      <c r="E7" s="9"/>
      <c r="F7" s="9"/>
      <c r="G7" s="9"/>
      <c r="H7" s="63"/>
      <c r="I7" s="2">
        <f>SUM(C7:G7)</f>
        <v>2958829</v>
      </c>
    </row>
    <row r="8" spans="2:13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2">
        <f t="shared" ref="I8:I10" si="0">SUM(C8:G8)</f>
        <v>30703</v>
      </c>
    </row>
    <row r="9" spans="2:13" x14ac:dyDescent="0.25">
      <c r="B9" s="8" t="s">
        <v>178</v>
      </c>
      <c r="C9" s="9"/>
      <c r="D9" s="103">
        <v>64150</v>
      </c>
      <c r="E9" s="107"/>
      <c r="F9" s="107"/>
      <c r="G9" s="63"/>
      <c r="H9" s="63"/>
      <c r="I9" s="2">
        <f t="shared" si="0"/>
        <v>64150</v>
      </c>
    </row>
    <row r="10" spans="2:13" x14ac:dyDescent="0.25">
      <c r="B10" s="8" t="s">
        <v>166</v>
      </c>
      <c r="C10" s="103">
        <v>3500</v>
      </c>
      <c r="D10" s="103">
        <v>5200</v>
      </c>
      <c r="E10" s="107"/>
      <c r="F10" s="107"/>
      <c r="G10" s="63"/>
      <c r="H10" s="63"/>
      <c r="I10" s="2">
        <f t="shared" si="0"/>
        <v>8700</v>
      </c>
      <c r="M10" s="55"/>
    </row>
    <row r="11" spans="2:13" x14ac:dyDescent="0.25">
      <c r="B11" s="8" t="s">
        <v>167</v>
      </c>
      <c r="C11" s="9"/>
      <c r="D11" s="9"/>
      <c r="E11" s="63"/>
      <c r="F11" s="63"/>
      <c r="G11" s="63"/>
      <c r="H11" s="63"/>
      <c r="I11" s="2">
        <f>SUM(C11:G11)</f>
        <v>0</v>
      </c>
    </row>
    <row r="12" spans="2:13" x14ac:dyDescent="0.25">
      <c r="B12" s="8" t="s">
        <v>179</v>
      </c>
      <c r="C12" s="9"/>
      <c r="D12" s="9"/>
      <c r="E12" s="107">
        <v>500</v>
      </c>
      <c r="F12" s="63"/>
      <c r="G12" s="63"/>
      <c r="H12" s="63"/>
      <c r="I12" s="2">
        <f>SUM(C12:G12)</f>
        <v>500</v>
      </c>
      <c r="L12" s="55"/>
    </row>
    <row r="13" spans="2:13" x14ac:dyDescent="0.25">
      <c r="B13" s="8" t="s">
        <v>182</v>
      </c>
      <c r="C13" s="1"/>
      <c r="D13" s="1"/>
      <c r="E13" s="1"/>
      <c r="F13" s="9"/>
      <c r="G13" s="99"/>
      <c r="H13" s="99"/>
      <c r="I13" s="2">
        <f>SUM(C13:G13)</f>
        <v>0</v>
      </c>
      <c r="L13" s="55"/>
    </row>
    <row r="14" spans="2:13" ht="15.75" thickBot="1" x14ac:dyDescent="0.3">
      <c r="B14" s="10" t="s">
        <v>169</v>
      </c>
      <c r="C14" s="1"/>
      <c r="D14" s="1"/>
      <c r="E14" s="1"/>
      <c r="F14" s="9">
        <v>9246</v>
      </c>
      <c r="G14" s="63">
        <v>14748</v>
      </c>
      <c r="H14" s="63">
        <v>2797</v>
      </c>
      <c r="I14" s="2">
        <f>SUM(C14:H14)</f>
        <v>26791</v>
      </c>
    </row>
    <row r="15" spans="2:13" ht="16.5" thickBot="1" x14ac:dyDescent="0.3">
      <c r="B15" s="29" t="s">
        <v>12</v>
      </c>
      <c r="C15" s="30">
        <f t="shared" ref="C15:I15" si="1">SUM(C7:C14)</f>
        <v>2993032</v>
      </c>
      <c r="D15" s="30">
        <f t="shared" si="1"/>
        <v>69350</v>
      </c>
      <c r="E15" s="30">
        <f t="shared" si="1"/>
        <v>500</v>
      </c>
      <c r="F15" s="30">
        <f t="shared" si="1"/>
        <v>9246</v>
      </c>
      <c r="G15" s="30">
        <f t="shared" si="1"/>
        <v>14748</v>
      </c>
      <c r="H15" s="30">
        <f t="shared" si="1"/>
        <v>2797</v>
      </c>
      <c r="I15" s="30">
        <f t="shared" si="1"/>
        <v>3089673</v>
      </c>
    </row>
    <row r="16" spans="2:13" ht="6.75" customHeight="1" thickBot="1" x14ac:dyDescent="0.3">
      <c r="B16" s="3"/>
      <c r="C16" s="11"/>
      <c r="D16" s="11"/>
      <c r="E16" s="11"/>
      <c r="F16" s="11"/>
      <c r="G16" s="11"/>
      <c r="H16" s="11"/>
      <c r="I16" s="11"/>
    </row>
    <row r="17" spans="2:13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194</v>
      </c>
      <c r="G17" s="33" t="s">
        <v>185</v>
      </c>
      <c r="H17" s="33" t="s">
        <v>186</v>
      </c>
      <c r="I17" s="25" t="s">
        <v>5</v>
      </c>
      <c r="M17" s="55"/>
    </row>
    <row r="18" spans="2:13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 t="s">
        <v>193</v>
      </c>
      <c r="G18" s="74">
        <v>15</v>
      </c>
      <c r="H18" s="74">
        <v>17</v>
      </c>
      <c r="I18" s="28"/>
    </row>
    <row r="19" spans="2:13" ht="15.75" thickBot="1" x14ac:dyDescent="0.3">
      <c r="B19" s="41" t="s">
        <v>14</v>
      </c>
      <c r="C19" s="111">
        <f>2109074+355301+50000</f>
        <v>2514375</v>
      </c>
      <c r="D19" s="45">
        <v>22550</v>
      </c>
      <c r="E19" s="45"/>
      <c r="F19" s="45">
        <v>1109</v>
      </c>
      <c r="G19" s="45"/>
      <c r="H19" s="45"/>
      <c r="I19" s="45">
        <f>SUM(C19:G19)</f>
        <v>2538034</v>
      </c>
    </row>
    <row r="20" spans="2:13" ht="15.75" thickBot="1" x14ac:dyDescent="0.3">
      <c r="B20" s="41" t="s">
        <v>15</v>
      </c>
      <c r="C20" s="111">
        <f>52200+8026</f>
        <v>60226</v>
      </c>
      <c r="D20" s="45">
        <v>500</v>
      </c>
      <c r="E20" s="45"/>
      <c r="F20" s="45">
        <f>1493+375</f>
        <v>1868</v>
      </c>
      <c r="G20" s="45"/>
      <c r="H20" s="45"/>
      <c r="I20" s="45">
        <f t="shared" ref="I20:I21" si="2">SUM(C20:G20)</f>
        <v>62594</v>
      </c>
      <c r="K20" s="55"/>
    </row>
    <row r="21" spans="2:13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>
        <f t="shared" si="2"/>
        <v>2000</v>
      </c>
    </row>
    <row r="22" spans="2:13" ht="15.75" thickBot="1" x14ac:dyDescent="0.3">
      <c r="B22" s="41" t="s">
        <v>17</v>
      </c>
      <c r="C22" s="42">
        <f>+C24+C25+C26+C27+C28+C23</f>
        <v>28150</v>
      </c>
      <c r="D22" s="42">
        <f t="shared" ref="D22:G22" si="3">+D24+D25+D26+D27+D28</f>
        <v>3400</v>
      </c>
      <c r="E22" s="42"/>
      <c r="F22" s="42"/>
      <c r="G22" s="42">
        <f t="shared" si="3"/>
        <v>0</v>
      </c>
      <c r="H22" s="42"/>
      <c r="I22" s="42">
        <f>+I23+I24+I25+I26+I27+I28</f>
        <v>31550</v>
      </c>
    </row>
    <row r="23" spans="2:13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>
        <f>SUM(C23:G23)</f>
        <v>100</v>
      </c>
    </row>
    <row r="24" spans="2:13" x14ac:dyDescent="0.25">
      <c r="B24" s="6" t="s">
        <v>18</v>
      </c>
      <c r="C24" s="9"/>
      <c r="D24" s="103">
        <v>800</v>
      </c>
      <c r="E24" s="7"/>
      <c r="F24" s="7"/>
      <c r="G24" s="7"/>
      <c r="H24" s="7"/>
      <c r="I24" s="7">
        <f>SUM(C24:G24)</f>
        <v>800</v>
      </c>
      <c r="M24" s="55"/>
    </row>
    <row r="25" spans="2:13" x14ac:dyDescent="0.25">
      <c r="B25" s="8" t="s">
        <v>177</v>
      </c>
      <c r="C25" s="71">
        <f>7650+9700</f>
        <v>17350</v>
      </c>
      <c r="D25" s="103">
        <v>1200</v>
      </c>
      <c r="E25" s="7"/>
      <c r="F25" s="7"/>
      <c r="G25" s="7"/>
      <c r="H25" s="7"/>
      <c r="I25" s="7">
        <f t="shared" ref="I25:I28" si="4">SUM(C25:G25)</f>
        <v>18550</v>
      </c>
      <c r="L25" s="55"/>
    </row>
    <row r="26" spans="2:13" x14ac:dyDescent="0.25">
      <c r="B26" s="8" t="s">
        <v>19</v>
      </c>
      <c r="C26" s="9">
        <f>250-53+303</f>
        <v>500</v>
      </c>
      <c r="D26" s="103">
        <v>200</v>
      </c>
      <c r="E26" s="7"/>
      <c r="F26" s="7"/>
      <c r="G26" s="7"/>
      <c r="H26" s="7"/>
      <c r="I26" s="7">
        <f t="shared" si="4"/>
        <v>700</v>
      </c>
    </row>
    <row r="27" spans="2:13" x14ac:dyDescent="0.25">
      <c r="B27" s="12" t="s">
        <v>20</v>
      </c>
      <c r="C27" s="1">
        <f>750+150+500+1200</f>
        <v>2600</v>
      </c>
      <c r="D27" s="105">
        <v>200</v>
      </c>
      <c r="E27" s="9"/>
      <c r="F27" s="9"/>
      <c r="G27" s="9"/>
      <c r="H27" s="7"/>
      <c r="I27" s="7">
        <f t="shared" si="4"/>
        <v>2800</v>
      </c>
    </row>
    <row r="28" spans="2:13" ht="15.75" thickBot="1" x14ac:dyDescent="0.3">
      <c r="B28" s="8" t="s">
        <v>164</v>
      </c>
      <c r="C28" s="72">
        <f>5600+2000</f>
        <v>7600</v>
      </c>
      <c r="D28" s="115">
        <v>1000</v>
      </c>
      <c r="E28" s="82"/>
      <c r="F28" s="82"/>
      <c r="G28" s="13"/>
      <c r="H28" s="13"/>
      <c r="I28" s="7">
        <f t="shared" si="4"/>
        <v>8600</v>
      </c>
    </row>
    <row r="29" spans="2:13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44"/>
      <c r="H29" s="44"/>
      <c r="I29" s="45">
        <f>I30+I31</f>
        <v>31320</v>
      </c>
    </row>
    <row r="30" spans="2:13" x14ac:dyDescent="0.25">
      <c r="B30" s="10" t="s">
        <v>22</v>
      </c>
      <c r="C30" s="13">
        <v>31000</v>
      </c>
      <c r="D30" s="104">
        <v>0</v>
      </c>
      <c r="E30" s="104"/>
      <c r="F30" s="104"/>
      <c r="G30" s="7"/>
      <c r="H30" s="101"/>
      <c r="I30" s="80">
        <f>SUM(C30:D30)</f>
        <v>31000</v>
      </c>
    </row>
    <row r="31" spans="2:13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>
        <f>SUM(C31:D31)</f>
        <v>320</v>
      </c>
    </row>
    <row r="32" spans="2:13" ht="15.75" thickBot="1" x14ac:dyDescent="0.3">
      <c r="B32" s="48" t="s">
        <v>23</v>
      </c>
      <c r="C32" s="79">
        <f>SUM(C33:C56)</f>
        <v>99400</v>
      </c>
      <c r="D32" s="79">
        <f t="shared" ref="D32:F32" si="5">SUM(D33:D56)</f>
        <v>5300</v>
      </c>
      <c r="E32" s="79"/>
      <c r="F32" s="79">
        <f t="shared" si="5"/>
        <v>0</v>
      </c>
      <c r="G32" s="79"/>
      <c r="H32" s="79"/>
      <c r="I32" s="79">
        <f>SUM(I33:I56)</f>
        <v>104700</v>
      </c>
    </row>
    <row r="33" spans="2:12" x14ac:dyDescent="0.25">
      <c r="B33" s="52" t="s">
        <v>24</v>
      </c>
      <c r="C33" s="103">
        <v>1800</v>
      </c>
      <c r="D33" s="9">
        <f>200+100+50</f>
        <v>350</v>
      </c>
      <c r="E33" s="9"/>
      <c r="F33" s="9"/>
      <c r="G33" s="9"/>
      <c r="H33" s="9"/>
      <c r="I33" s="9">
        <f>SUM(C33:G33)</f>
        <v>2150</v>
      </c>
    </row>
    <row r="34" spans="2:12" x14ac:dyDescent="0.25">
      <c r="B34" s="52" t="s">
        <v>25</v>
      </c>
      <c r="C34" s="110">
        <v>32000</v>
      </c>
      <c r="D34" s="71">
        <v>500</v>
      </c>
      <c r="E34" s="71"/>
      <c r="F34" s="71"/>
      <c r="G34" s="9"/>
      <c r="H34" s="9"/>
      <c r="I34" s="9">
        <f t="shared" ref="I34:I56" si="6">SUM(C34:G34)</f>
        <v>32500</v>
      </c>
    </row>
    <row r="35" spans="2:12" x14ac:dyDescent="0.25">
      <c r="B35" s="52" t="s">
        <v>26</v>
      </c>
      <c r="C35" s="110">
        <v>11000</v>
      </c>
      <c r="D35" s="110">
        <v>600</v>
      </c>
      <c r="E35" s="110"/>
      <c r="F35" s="71"/>
      <c r="G35" s="9"/>
      <c r="H35" s="9"/>
      <c r="I35" s="9">
        <f t="shared" si="6"/>
        <v>11600</v>
      </c>
    </row>
    <row r="36" spans="2:12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>
        <f t="shared" si="6"/>
        <v>100</v>
      </c>
      <c r="K36" s="55"/>
    </row>
    <row r="37" spans="2:12" x14ac:dyDescent="0.25">
      <c r="B37" s="52" t="s">
        <v>28</v>
      </c>
      <c r="C37" s="110">
        <v>18000</v>
      </c>
      <c r="D37" s="112">
        <v>150</v>
      </c>
      <c r="E37" s="112"/>
      <c r="F37" s="65"/>
      <c r="G37" s="9"/>
      <c r="H37" s="9"/>
      <c r="I37" s="9">
        <f t="shared" si="6"/>
        <v>18150</v>
      </c>
      <c r="L37" s="55"/>
    </row>
    <row r="38" spans="2:12" x14ac:dyDescent="0.25">
      <c r="B38" s="52" t="s">
        <v>29</v>
      </c>
      <c r="C38" s="110">
        <v>7000</v>
      </c>
      <c r="D38" s="110">
        <v>200</v>
      </c>
      <c r="E38" s="110"/>
      <c r="F38" s="71"/>
      <c r="G38" s="9"/>
      <c r="H38" s="9"/>
      <c r="I38" s="9">
        <f t="shared" si="6"/>
        <v>7200</v>
      </c>
      <c r="L38" s="55"/>
    </row>
    <row r="39" spans="2:12" x14ac:dyDescent="0.25">
      <c r="B39" s="52" t="s">
        <v>30</v>
      </c>
      <c r="C39" s="103">
        <v>510</v>
      </c>
      <c r="D39" s="9"/>
      <c r="E39" s="9"/>
      <c r="F39" s="9"/>
      <c r="G39" s="9"/>
      <c r="H39" s="9"/>
      <c r="I39" s="9">
        <f t="shared" si="6"/>
        <v>510</v>
      </c>
    </row>
    <row r="40" spans="2:12" x14ac:dyDescent="0.25">
      <c r="B40" s="52" t="s">
        <v>31</v>
      </c>
      <c r="C40" s="103">
        <v>390</v>
      </c>
      <c r="D40" s="9"/>
      <c r="E40" s="9"/>
      <c r="F40" s="9"/>
      <c r="G40" s="9"/>
      <c r="H40" s="9"/>
      <c r="I40" s="9">
        <f t="shared" si="6"/>
        <v>390</v>
      </c>
    </row>
    <row r="41" spans="2:12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>
        <f t="shared" si="6"/>
        <v>6700</v>
      </c>
    </row>
    <row r="42" spans="2:12" x14ac:dyDescent="0.25">
      <c r="B42" s="52" t="s">
        <v>33</v>
      </c>
      <c r="C42" s="110">
        <v>6500</v>
      </c>
      <c r="D42" s="110">
        <v>2000</v>
      </c>
      <c r="E42" s="71"/>
      <c r="F42" s="71"/>
      <c r="G42" s="9"/>
      <c r="H42" s="9"/>
      <c r="I42" s="9">
        <f t="shared" si="6"/>
        <v>8500</v>
      </c>
    </row>
    <row r="43" spans="2:12" x14ac:dyDescent="0.25">
      <c r="B43" s="52" t="s">
        <v>34</v>
      </c>
      <c r="C43" s="103">
        <v>4500</v>
      </c>
      <c r="D43" s="9"/>
      <c r="E43" s="9"/>
      <c r="F43" s="9"/>
      <c r="G43" s="9"/>
      <c r="H43" s="9"/>
      <c r="I43" s="9">
        <f t="shared" si="6"/>
        <v>4500</v>
      </c>
    </row>
    <row r="44" spans="2:12" x14ac:dyDescent="0.25">
      <c r="B44" s="52" t="s">
        <v>35</v>
      </c>
      <c r="C44" s="103">
        <v>2600</v>
      </c>
      <c r="D44" s="9"/>
      <c r="E44" s="9"/>
      <c r="F44" s="9"/>
      <c r="G44" s="9"/>
      <c r="H44" s="9"/>
      <c r="I44" s="9">
        <f t="shared" si="6"/>
        <v>2600</v>
      </c>
    </row>
    <row r="45" spans="2:12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>
        <f t="shared" si="6"/>
        <v>1300</v>
      </c>
    </row>
    <row r="46" spans="2:12" x14ac:dyDescent="0.25">
      <c r="B46" s="52" t="s">
        <v>37</v>
      </c>
      <c r="C46" s="9"/>
      <c r="D46" s="9"/>
      <c r="E46" s="9"/>
      <c r="F46" s="9"/>
      <c r="G46" s="9"/>
      <c r="H46" s="9"/>
      <c r="I46" s="9">
        <f t="shared" si="6"/>
        <v>0</v>
      </c>
    </row>
    <row r="47" spans="2:12" x14ac:dyDescent="0.25">
      <c r="B47" s="52" t="s">
        <v>38</v>
      </c>
      <c r="C47" s="103">
        <v>550</v>
      </c>
      <c r="D47" s="9">
        <v>50</v>
      </c>
      <c r="E47" s="9"/>
      <c r="F47" s="9"/>
      <c r="G47" s="9"/>
      <c r="H47" s="9"/>
      <c r="I47" s="9">
        <f t="shared" si="6"/>
        <v>600</v>
      </c>
    </row>
    <row r="48" spans="2:12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>
        <f t="shared" si="6"/>
        <v>500</v>
      </c>
    </row>
    <row r="49" spans="2:9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>
        <f t="shared" si="6"/>
        <v>600</v>
      </c>
    </row>
    <row r="50" spans="2:9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>
        <f t="shared" si="6"/>
        <v>3800</v>
      </c>
    </row>
    <row r="51" spans="2:9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>
        <f t="shared" si="6"/>
        <v>1550</v>
      </c>
    </row>
    <row r="52" spans="2:9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>
        <f t="shared" si="6"/>
        <v>400</v>
      </c>
    </row>
    <row r="53" spans="2:9" x14ac:dyDescent="0.25">
      <c r="B53" s="52" t="s">
        <v>150</v>
      </c>
      <c r="C53" s="9"/>
      <c r="D53" s="103">
        <v>350</v>
      </c>
      <c r="E53" s="103"/>
      <c r="F53" s="9"/>
      <c r="G53" s="9"/>
      <c r="H53" s="9"/>
      <c r="I53" s="9">
        <f t="shared" si="6"/>
        <v>350</v>
      </c>
    </row>
    <row r="54" spans="2:9" x14ac:dyDescent="0.25">
      <c r="B54" s="52" t="s">
        <v>44</v>
      </c>
      <c r="C54" s="9"/>
      <c r="D54" s="9"/>
      <c r="E54" s="9"/>
      <c r="F54" s="9"/>
      <c r="G54" s="9"/>
      <c r="H54" s="9"/>
      <c r="I54" s="9">
        <f t="shared" si="6"/>
        <v>0</v>
      </c>
    </row>
    <row r="55" spans="2:9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>
        <f t="shared" si="6"/>
        <v>250</v>
      </c>
    </row>
    <row r="56" spans="2:9" ht="15.75" thickBot="1" x14ac:dyDescent="0.3">
      <c r="B56" s="52" t="s">
        <v>46</v>
      </c>
      <c r="C56" s="54"/>
      <c r="D56" s="9">
        <v>450</v>
      </c>
      <c r="E56" s="9"/>
      <c r="F56" s="9"/>
      <c r="G56" s="54"/>
      <c r="H56" s="54"/>
      <c r="I56" s="9">
        <f t="shared" si="6"/>
        <v>450</v>
      </c>
    </row>
    <row r="57" spans="2:9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94"/>
      <c r="I57" s="44">
        <f>SUM(I58:I66)</f>
        <v>1400</v>
      </c>
    </row>
    <row r="58" spans="2:9" x14ac:dyDescent="0.25">
      <c r="B58" s="4" t="s">
        <v>48</v>
      </c>
      <c r="C58" s="7"/>
      <c r="D58" s="106">
        <v>150</v>
      </c>
      <c r="E58" s="106"/>
      <c r="F58" s="106"/>
      <c r="G58" s="7"/>
      <c r="H58" s="7"/>
      <c r="I58" s="7">
        <f>SUM(C58:G58)</f>
        <v>150</v>
      </c>
    </row>
    <row r="59" spans="2:9" x14ac:dyDescent="0.25">
      <c r="B59" s="8" t="s">
        <v>49</v>
      </c>
      <c r="C59" s="9"/>
      <c r="D59" s="9">
        <v>100</v>
      </c>
      <c r="E59" s="9"/>
      <c r="F59" s="9"/>
      <c r="G59" s="9"/>
      <c r="H59" s="7"/>
      <c r="I59" s="7">
        <f t="shared" ref="I59:I66" si="8">SUM(C59:G59)</f>
        <v>100</v>
      </c>
    </row>
    <row r="60" spans="2:9" x14ac:dyDescent="0.25">
      <c r="B60" s="8" t="s">
        <v>50</v>
      </c>
      <c r="C60" s="9"/>
      <c r="D60" s="9">
        <v>800</v>
      </c>
      <c r="E60" s="9"/>
      <c r="F60" s="9"/>
      <c r="G60" s="9"/>
      <c r="H60" s="7"/>
      <c r="I60" s="7">
        <f t="shared" si="8"/>
        <v>800</v>
      </c>
    </row>
    <row r="61" spans="2:9" x14ac:dyDescent="0.25">
      <c r="B61" s="8" t="s">
        <v>51</v>
      </c>
      <c r="C61" s="9"/>
      <c r="D61" s="9">
        <v>50</v>
      </c>
      <c r="E61" s="9"/>
      <c r="F61" s="9"/>
      <c r="G61" s="9"/>
      <c r="H61" s="7"/>
      <c r="I61" s="7">
        <f t="shared" si="8"/>
        <v>50</v>
      </c>
    </row>
    <row r="62" spans="2:9" x14ac:dyDescent="0.25">
      <c r="B62" s="8" t="s">
        <v>52</v>
      </c>
      <c r="C62" s="9"/>
      <c r="D62" s="9">
        <v>50</v>
      </c>
      <c r="E62" s="9"/>
      <c r="F62" s="9"/>
      <c r="G62" s="9"/>
      <c r="H62" s="7"/>
      <c r="I62" s="7">
        <f t="shared" si="8"/>
        <v>50</v>
      </c>
    </row>
    <row r="63" spans="2:9" x14ac:dyDescent="0.25">
      <c r="B63" s="8" t="s">
        <v>53</v>
      </c>
      <c r="C63" s="9"/>
      <c r="D63" s="9">
        <v>100</v>
      </c>
      <c r="E63" s="9"/>
      <c r="F63" s="9"/>
      <c r="G63" s="9"/>
      <c r="H63" s="7"/>
      <c r="I63" s="7">
        <f t="shared" si="8"/>
        <v>100</v>
      </c>
    </row>
    <row r="64" spans="2:9" x14ac:dyDescent="0.25">
      <c r="B64" s="8" t="s">
        <v>54</v>
      </c>
      <c r="C64" s="9"/>
      <c r="D64" s="9">
        <v>100</v>
      </c>
      <c r="E64" s="9"/>
      <c r="F64" s="9"/>
      <c r="G64" s="9"/>
      <c r="H64" s="7"/>
      <c r="I64" s="7">
        <f t="shared" si="8"/>
        <v>100</v>
      </c>
    </row>
    <row r="65" spans="2:9" x14ac:dyDescent="0.25">
      <c r="B65" s="8" t="s">
        <v>55</v>
      </c>
      <c r="C65" s="9"/>
      <c r="D65" s="9">
        <f>50-50</f>
        <v>0</v>
      </c>
      <c r="E65" s="9"/>
      <c r="F65" s="9"/>
      <c r="G65" s="9"/>
      <c r="H65" s="7"/>
      <c r="I65" s="7">
        <f t="shared" si="8"/>
        <v>0</v>
      </c>
    </row>
    <row r="66" spans="2:9" ht="15.75" thickBot="1" x14ac:dyDescent="0.3">
      <c r="B66" s="12" t="s">
        <v>56</v>
      </c>
      <c r="C66" s="1"/>
      <c r="D66" s="105">
        <v>50</v>
      </c>
      <c r="E66" s="105"/>
      <c r="F66" s="105"/>
      <c r="G66" s="1"/>
      <c r="H66" s="13"/>
      <c r="I66" s="7">
        <f t="shared" si="8"/>
        <v>50</v>
      </c>
    </row>
    <row r="67" spans="2:9" ht="15.75" thickBot="1" x14ac:dyDescent="0.3">
      <c r="B67" s="41" t="s">
        <v>57</v>
      </c>
      <c r="C67" s="42">
        <f>SUM(C68:C91)</f>
        <v>19100</v>
      </c>
      <c r="D67" s="42">
        <f>SUM(D68:D91)</f>
        <v>11070</v>
      </c>
      <c r="E67" s="42"/>
      <c r="F67" s="42"/>
      <c r="G67" s="42">
        <f t="shared" ref="G67" si="9">SUM(G68:G91)</f>
        <v>40</v>
      </c>
      <c r="H67" s="94"/>
      <c r="I67" s="44">
        <f>SUM(I68:I91)</f>
        <v>30210</v>
      </c>
    </row>
    <row r="68" spans="2:9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2">
        <f t="shared" ref="I68:I91" si="10">SUM(C68:G68)</f>
        <v>100</v>
      </c>
    </row>
    <row r="69" spans="2:9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2">
        <f t="shared" si="10"/>
        <v>100</v>
      </c>
    </row>
    <row r="70" spans="2:9" x14ac:dyDescent="0.25">
      <c r="B70" s="8" t="s">
        <v>59</v>
      </c>
      <c r="C70" s="9"/>
      <c r="D70" s="9">
        <v>400</v>
      </c>
      <c r="E70" s="63"/>
      <c r="F70" s="63"/>
      <c r="G70" s="63"/>
      <c r="H70" s="63"/>
      <c r="I70" s="2">
        <f t="shared" si="10"/>
        <v>400</v>
      </c>
    </row>
    <row r="71" spans="2:9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2">
        <f t="shared" si="10"/>
        <v>4000</v>
      </c>
    </row>
    <row r="72" spans="2:9" x14ac:dyDescent="0.25">
      <c r="B72" s="8" t="s">
        <v>61</v>
      </c>
      <c r="C72" s="110">
        <f>5000-1000</f>
        <v>4000</v>
      </c>
      <c r="D72" s="9"/>
      <c r="E72" s="63"/>
      <c r="F72" s="63"/>
      <c r="G72" s="63"/>
      <c r="H72" s="63"/>
      <c r="I72" s="2">
        <f t="shared" si="10"/>
        <v>4000</v>
      </c>
    </row>
    <row r="73" spans="2:9" x14ac:dyDescent="0.25">
      <c r="B73" s="8" t="s">
        <v>62</v>
      </c>
      <c r="C73" s="9"/>
      <c r="D73" s="65">
        <f>200+100+150</f>
        <v>450</v>
      </c>
      <c r="E73" s="108"/>
      <c r="F73" s="108"/>
      <c r="G73" s="63"/>
      <c r="H73" s="63"/>
      <c r="I73" s="2">
        <f t="shared" si="10"/>
        <v>450</v>
      </c>
    </row>
    <row r="74" spans="2:9" x14ac:dyDescent="0.25">
      <c r="B74" s="8" t="s">
        <v>63</v>
      </c>
      <c r="C74" s="71">
        <v>5500</v>
      </c>
      <c r="D74" s="110">
        <v>1800</v>
      </c>
      <c r="E74" s="109"/>
      <c r="F74" s="109"/>
      <c r="G74" s="63"/>
      <c r="H74" s="63"/>
      <c r="I74" s="2">
        <f t="shared" si="10"/>
        <v>7300</v>
      </c>
    </row>
    <row r="75" spans="2:9" x14ac:dyDescent="0.25">
      <c r="B75" s="8" t="s">
        <v>64</v>
      </c>
      <c r="C75" s="9"/>
      <c r="D75" s="103">
        <v>400</v>
      </c>
      <c r="E75" s="107"/>
      <c r="F75" s="63"/>
      <c r="G75" s="63"/>
      <c r="H75" s="63"/>
      <c r="I75" s="2">
        <f t="shared" si="10"/>
        <v>400</v>
      </c>
    </row>
    <row r="76" spans="2:9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2">
        <f t="shared" si="10"/>
        <v>0</v>
      </c>
    </row>
    <row r="77" spans="2:9" x14ac:dyDescent="0.25">
      <c r="B77" s="8" t="s">
        <v>66</v>
      </c>
      <c r="C77" s="9"/>
      <c r="D77" s="103">
        <v>200</v>
      </c>
      <c r="E77" s="107"/>
      <c r="F77" s="63"/>
      <c r="G77" s="63"/>
      <c r="H77" s="63"/>
      <c r="I77" s="2">
        <f t="shared" si="10"/>
        <v>200</v>
      </c>
    </row>
    <row r="78" spans="2:9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2">
        <f t="shared" si="10"/>
        <v>200</v>
      </c>
    </row>
    <row r="79" spans="2:9" x14ac:dyDescent="0.25">
      <c r="B79" s="8" t="s">
        <v>68</v>
      </c>
      <c r="C79" s="9"/>
      <c r="D79" s="103">
        <v>150</v>
      </c>
      <c r="E79" s="107"/>
      <c r="F79" s="63"/>
      <c r="G79" s="63"/>
      <c r="H79" s="63"/>
      <c r="I79" s="2">
        <f t="shared" si="10"/>
        <v>150</v>
      </c>
    </row>
    <row r="80" spans="2:9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2">
        <f t="shared" si="10"/>
        <v>100</v>
      </c>
    </row>
    <row r="81" spans="2:9" x14ac:dyDescent="0.25">
      <c r="B81" s="8" t="s">
        <v>70</v>
      </c>
      <c r="C81" s="9"/>
      <c r="D81" s="103">
        <v>500</v>
      </c>
      <c r="E81" s="107"/>
      <c r="F81" s="63"/>
      <c r="G81" s="63">
        <v>40</v>
      </c>
      <c r="H81" s="63"/>
      <c r="I81" s="2">
        <f t="shared" si="10"/>
        <v>540</v>
      </c>
    </row>
    <row r="82" spans="2:9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2">
        <f t="shared" si="10"/>
        <v>500</v>
      </c>
    </row>
    <row r="83" spans="2:9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2">
        <f t="shared" si="10"/>
        <v>50</v>
      </c>
    </row>
    <row r="84" spans="2:9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2">
        <f t="shared" si="10"/>
        <v>1150</v>
      </c>
    </row>
    <row r="85" spans="2:9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2">
        <f t="shared" si="10"/>
        <v>50</v>
      </c>
    </row>
    <row r="86" spans="2:9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2">
        <f t="shared" si="10"/>
        <v>1500</v>
      </c>
    </row>
    <row r="87" spans="2:9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2">
        <f t="shared" si="10"/>
        <v>600</v>
      </c>
    </row>
    <row r="88" spans="2:9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2">
        <f t="shared" si="10"/>
        <v>5500</v>
      </c>
    </row>
    <row r="89" spans="2:9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2">
        <f t="shared" si="10"/>
        <v>650</v>
      </c>
    </row>
    <row r="90" spans="2:9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2">
        <f t="shared" si="10"/>
        <v>350</v>
      </c>
    </row>
    <row r="91" spans="2:9" ht="15.75" thickBot="1" x14ac:dyDescent="0.3">
      <c r="B91" s="12" t="s">
        <v>80</v>
      </c>
      <c r="C91" s="1"/>
      <c r="D91" s="105">
        <f>1920</f>
        <v>1920</v>
      </c>
      <c r="E91" s="37"/>
      <c r="F91" s="37"/>
      <c r="G91" s="37"/>
      <c r="H91" s="37"/>
      <c r="I91" s="2">
        <f t="shared" si="10"/>
        <v>1920</v>
      </c>
    </row>
    <row r="92" spans="2:9" ht="15.75" thickBot="1" x14ac:dyDescent="0.3">
      <c r="B92" s="41" t="s">
        <v>81</v>
      </c>
      <c r="C92" s="45">
        <f>SUM(C93:C98)</f>
        <v>650</v>
      </c>
      <c r="D92" s="45">
        <f t="shared" ref="D92:G92" si="11">SUM(D93:D98)</f>
        <v>8000</v>
      </c>
      <c r="E92" s="45"/>
      <c r="F92" s="45">
        <f t="shared" si="11"/>
        <v>2101</v>
      </c>
      <c r="G92" s="45">
        <f t="shared" si="11"/>
        <v>0</v>
      </c>
      <c r="H92" s="45"/>
      <c r="I92" s="45">
        <f>SUM(I93:I98)</f>
        <v>10751</v>
      </c>
    </row>
    <row r="93" spans="2:9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37"/>
      <c r="I93" s="76">
        <f>SUM(C93:G93)</f>
        <v>100</v>
      </c>
    </row>
    <row r="94" spans="2:9" x14ac:dyDescent="0.25">
      <c r="B94" s="8" t="s">
        <v>83</v>
      </c>
      <c r="C94" s="103">
        <v>100</v>
      </c>
      <c r="D94" s="9"/>
      <c r="E94" s="63"/>
      <c r="F94" s="63"/>
      <c r="G94" s="63"/>
      <c r="H94" s="9"/>
      <c r="I94" s="9">
        <f t="shared" ref="I94:I98" si="12">SUM(C94:G94)</f>
        <v>100</v>
      </c>
    </row>
    <row r="95" spans="2:9" x14ac:dyDescent="0.25">
      <c r="B95" s="8" t="s">
        <v>154</v>
      </c>
      <c r="C95" s="9"/>
      <c r="D95" s="103">
        <v>2300</v>
      </c>
      <c r="E95" s="107"/>
      <c r="F95" s="107">
        <v>1000</v>
      </c>
      <c r="G95" s="63"/>
      <c r="H95" s="63"/>
      <c r="I95" s="9">
        <f>SUM(C95:G95)</f>
        <v>3300</v>
      </c>
    </row>
    <row r="96" spans="2:9" x14ac:dyDescent="0.25">
      <c r="B96" s="8" t="s">
        <v>84</v>
      </c>
      <c r="C96" s="103">
        <v>500</v>
      </c>
      <c r="D96" s="103">
        <v>2100</v>
      </c>
      <c r="E96" s="107"/>
      <c r="F96" s="107">
        <v>1101</v>
      </c>
      <c r="G96" s="63"/>
      <c r="H96" s="63"/>
      <c r="I96" s="9">
        <f t="shared" si="12"/>
        <v>3701</v>
      </c>
    </row>
    <row r="97" spans="2:9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9">
        <f t="shared" si="12"/>
        <v>50</v>
      </c>
    </row>
    <row r="98" spans="2:9" ht="15.75" thickBot="1" x14ac:dyDescent="0.3">
      <c r="B98" s="12" t="s">
        <v>86</v>
      </c>
      <c r="C98" s="1"/>
      <c r="D98" s="115">
        <v>3500</v>
      </c>
      <c r="E98" s="84"/>
      <c r="F98" s="84"/>
      <c r="G98" s="37"/>
      <c r="H98" s="37"/>
      <c r="I98" s="2">
        <f t="shared" si="12"/>
        <v>3500</v>
      </c>
    </row>
    <row r="99" spans="2:9" ht="15.75" thickBot="1" x14ac:dyDescent="0.3">
      <c r="B99" s="41" t="s">
        <v>87</v>
      </c>
      <c r="C99" s="45">
        <f>SUM(C100:C123)</f>
        <v>28400</v>
      </c>
      <c r="D99" s="45">
        <f t="shared" ref="D99:I99" si="13">SUM(D100:D123)</f>
        <v>3470</v>
      </c>
      <c r="E99" s="45">
        <f t="shared" si="13"/>
        <v>500</v>
      </c>
      <c r="F99" s="45"/>
      <c r="G99" s="45">
        <f t="shared" si="13"/>
        <v>0</v>
      </c>
      <c r="H99" s="45"/>
      <c r="I99" s="45">
        <f t="shared" si="13"/>
        <v>32370</v>
      </c>
    </row>
    <row r="100" spans="2:9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9">
        <f>SUM(C100:G100)</f>
        <v>800</v>
      </c>
    </row>
    <row r="101" spans="2:9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>
        <f t="shared" ref="I101:I123" si="14">SUM(C101:G101)</f>
        <v>200</v>
      </c>
    </row>
    <row r="102" spans="2:9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>
        <f t="shared" si="14"/>
        <v>1200</v>
      </c>
    </row>
    <row r="103" spans="2:9" x14ac:dyDescent="0.25">
      <c r="B103" s="8" t="s">
        <v>90</v>
      </c>
      <c r="C103" s="110">
        <v>200</v>
      </c>
      <c r="D103" s="9"/>
      <c r="E103" s="9"/>
      <c r="F103" s="9"/>
      <c r="G103" s="9"/>
      <c r="H103" s="9"/>
      <c r="I103" s="9">
        <f t="shared" si="14"/>
        <v>200</v>
      </c>
    </row>
    <row r="104" spans="2:9" x14ac:dyDescent="0.25">
      <c r="B104" s="8" t="s">
        <v>91</v>
      </c>
      <c r="C104" s="110">
        <v>1200</v>
      </c>
      <c r="D104" s="9"/>
      <c r="E104" s="9"/>
      <c r="F104" s="9"/>
      <c r="G104" s="9"/>
      <c r="H104" s="9"/>
      <c r="I104" s="9">
        <f t="shared" si="14"/>
        <v>1200</v>
      </c>
    </row>
    <row r="105" spans="2:9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>
        <f t="shared" si="14"/>
        <v>400</v>
      </c>
    </row>
    <row r="106" spans="2:9" x14ac:dyDescent="0.25">
      <c r="B106" s="8" t="s">
        <v>93</v>
      </c>
      <c r="C106" s="71">
        <v>1800</v>
      </c>
      <c r="D106" s="103">
        <v>20</v>
      </c>
      <c r="E106" s="9"/>
      <c r="F106" s="9"/>
      <c r="G106" s="9"/>
      <c r="H106" s="9"/>
      <c r="I106" s="9">
        <f t="shared" si="14"/>
        <v>1820</v>
      </c>
    </row>
    <row r="107" spans="2:9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>
        <f t="shared" si="14"/>
        <v>0</v>
      </c>
    </row>
    <row r="108" spans="2:9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>
        <f t="shared" si="14"/>
        <v>2300</v>
      </c>
    </row>
    <row r="109" spans="2:9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>
        <f t="shared" si="14"/>
        <v>1200</v>
      </c>
    </row>
    <row r="110" spans="2:9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>
        <f t="shared" si="14"/>
        <v>8000</v>
      </c>
    </row>
    <row r="111" spans="2:9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>
        <f t="shared" si="14"/>
        <v>100</v>
      </c>
    </row>
    <row r="112" spans="2:9" x14ac:dyDescent="0.25">
      <c r="B112" s="8" t="s">
        <v>158</v>
      </c>
      <c r="C112" s="9"/>
      <c r="D112" s="9"/>
      <c r="E112" s="9"/>
      <c r="F112" s="9"/>
      <c r="G112" s="9"/>
      <c r="H112" s="9"/>
      <c r="I112" s="9">
        <f t="shared" si="14"/>
        <v>0</v>
      </c>
    </row>
    <row r="113" spans="2:13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>
        <f t="shared" si="14"/>
        <v>1200</v>
      </c>
    </row>
    <row r="114" spans="2:13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>
        <f t="shared" si="14"/>
        <v>1000</v>
      </c>
    </row>
    <row r="115" spans="2:13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>
        <f t="shared" si="14"/>
        <v>0</v>
      </c>
    </row>
    <row r="116" spans="2:13" x14ac:dyDescent="0.25">
      <c r="B116" s="8" t="s">
        <v>101</v>
      </c>
      <c r="C116" s="103">
        <f>200+100</f>
        <v>300</v>
      </c>
      <c r="D116" s="9">
        <v>600</v>
      </c>
      <c r="E116" s="9"/>
      <c r="F116" s="9"/>
      <c r="G116" s="9"/>
      <c r="H116" s="9"/>
      <c r="I116" s="9">
        <f t="shared" si="14"/>
        <v>900</v>
      </c>
    </row>
    <row r="117" spans="2:13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>
        <f t="shared" si="14"/>
        <v>100</v>
      </c>
    </row>
    <row r="118" spans="2:13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>
        <f t="shared" si="14"/>
        <v>1200</v>
      </c>
    </row>
    <row r="119" spans="2:13" x14ac:dyDescent="0.25">
      <c r="B119" s="8" t="s">
        <v>104</v>
      </c>
      <c r="C119" s="71">
        <v>3500</v>
      </c>
      <c r="D119" s="9"/>
      <c r="E119" s="103">
        <v>500</v>
      </c>
      <c r="F119" s="9"/>
      <c r="G119" s="9"/>
      <c r="H119" s="9"/>
      <c r="I119" s="9">
        <f t="shared" si="14"/>
        <v>4000</v>
      </c>
    </row>
    <row r="120" spans="2:13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>
        <f t="shared" si="14"/>
        <v>2000</v>
      </c>
    </row>
    <row r="121" spans="2:13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>
        <f t="shared" si="14"/>
        <v>600</v>
      </c>
    </row>
    <row r="122" spans="2:13" x14ac:dyDescent="0.25">
      <c r="B122" s="8" t="s">
        <v>107</v>
      </c>
      <c r="C122" s="9"/>
      <c r="D122" s="112">
        <v>2750</v>
      </c>
      <c r="E122" s="112"/>
      <c r="F122" s="9"/>
      <c r="G122" s="9"/>
      <c r="H122" s="9"/>
      <c r="I122" s="9">
        <f t="shared" si="14"/>
        <v>2750</v>
      </c>
      <c r="M122" s="55"/>
    </row>
    <row r="123" spans="2:13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36"/>
      <c r="H123" s="36"/>
      <c r="I123" s="9">
        <f t="shared" si="14"/>
        <v>1200</v>
      </c>
    </row>
    <row r="124" spans="2:13" ht="15.75" thickBot="1" x14ac:dyDescent="0.3">
      <c r="B124" s="41" t="s">
        <v>109</v>
      </c>
      <c r="C124" s="45">
        <f>SUM(C125:C145)</f>
        <v>209831</v>
      </c>
      <c r="D124" s="45">
        <f t="shared" ref="D124:F124" si="15">SUM(D125:D145)</f>
        <v>4600</v>
      </c>
      <c r="E124" s="45">
        <f t="shared" si="15"/>
        <v>0</v>
      </c>
      <c r="F124" s="45">
        <f t="shared" si="15"/>
        <v>383</v>
      </c>
      <c r="G124" s="45"/>
      <c r="H124" s="45"/>
      <c r="I124" s="45">
        <f>SUM(I125:I145)</f>
        <v>214814</v>
      </c>
      <c r="M124" s="55"/>
    </row>
    <row r="125" spans="2:13" x14ac:dyDescent="0.25">
      <c r="B125" s="6" t="s">
        <v>110</v>
      </c>
      <c r="C125" s="114">
        <f>8900-383-500</f>
        <v>8017</v>
      </c>
      <c r="D125" s="7">
        <v>150</v>
      </c>
      <c r="E125" s="7"/>
      <c r="F125" s="7">
        <v>383</v>
      </c>
      <c r="G125" s="7"/>
      <c r="H125" s="7"/>
      <c r="I125" s="9">
        <f>SUM(C125:G125)</f>
        <v>8550</v>
      </c>
      <c r="L125" s="55"/>
    </row>
    <row r="126" spans="2:13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>
        <f t="shared" ref="I126:I145" si="16">SUM(C126:G126)</f>
        <v>46</v>
      </c>
      <c r="L126" s="55"/>
    </row>
    <row r="127" spans="2:13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>
        <f t="shared" si="16"/>
        <v>1200</v>
      </c>
      <c r="L127" s="55"/>
    </row>
    <row r="128" spans="2:13" x14ac:dyDescent="0.25">
      <c r="B128" s="8" t="s">
        <v>112</v>
      </c>
      <c r="C128" s="110">
        <f>500-38</f>
        <v>462</v>
      </c>
      <c r="D128" s="9"/>
      <c r="E128" s="9"/>
      <c r="F128" s="9"/>
      <c r="G128" s="9"/>
      <c r="H128" s="9"/>
      <c r="I128" s="9">
        <f t="shared" si="16"/>
        <v>462</v>
      </c>
    </row>
    <row r="129" spans="2:11" x14ac:dyDescent="0.25">
      <c r="B129" s="8" t="s">
        <v>113</v>
      </c>
      <c r="C129" s="9"/>
      <c r="D129" s="103">
        <v>100</v>
      </c>
      <c r="E129" s="103"/>
      <c r="F129" s="9"/>
      <c r="G129" s="9"/>
      <c r="H129" s="9"/>
      <c r="I129" s="9">
        <f t="shared" si="16"/>
        <v>100</v>
      </c>
    </row>
    <row r="130" spans="2:11" x14ac:dyDescent="0.25">
      <c r="B130" s="8" t="s">
        <v>114</v>
      </c>
      <c r="C130" s="9"/>
      <c r="D130" s="9">
        <v>200</v>
      </c>
      <c r="E130" s="9"/>
      <c r="F130" s="9"/>
      <c r="G130" s="9"/>
      <c r="H130" s="9"/>
      <c r="I130" s="9">
        <f t="shared" si="16"/>
        <v>200</v>
      </c>
    </row>
    <row r="131" spans="2:11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>
        <f t="shared" si="16"/>
        <v>650</v>
      </c>
    </row>
    <row r="132" spans="2:11" x14ac:dyDescent="0.25">
      <c r="B132" s="8" t="s">
        <v>116</v>
      </c>
      <c r="C132" s="110">
        <v>12687</v>
      </c>
      <c r="D132" s="9">
        <v>100</v>
      </c>
      <c r="E132" s="9"/>
      <c r="F132" s="9"/>
      <c r="G132" s="9"/>
      <c r="H132" s="9"/>
      <c r="I132" s="9">
        <f t="shared" si="16"/>
        <v>12787</v>
      </c>
    </row>
    <row r="133" spans="2:11" x14ac:dyDescent="0.25">
      <c r="B133" s="8" t="s">
        <v>160</v>
      </c>
      <c r="C133" s="9">
        <v>750</v>
      </c>
      <c r="D133" s="9"/>
      <c r="E133" s="9"/>
      <c r="F133" s="9"/>
      <c r="G133" s="9"/>
      <c r="H133" s="9"/>
      <c r="I133" s="9">
        <f t="shared" si="16"/>
        <v>750</v>
      </c>
    </row>
    <row r="134" spans="2:11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>
        <f t="shared" si="16"/>
        <v>1100</v>
      </c>
    </row>
    <row r="135" spans="2:11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>
        <f t="shared" si="16"/>
        <v>32414</v>
      </c>
      <c r="K135" s="55"/>
    </row>
    <row r="136" spans="2:11" x14ac:dyDescent="0.25">
      <c r="B136" s="8" t="s">
        <v>119</v>
      </c>
      <c r="C136" s="112">
        <f>53648+17294</f>
        <v>70942</v>
      </c>
      <c r="D136" s="103">
        <v>500</v>
      </c>
      <c r="E136" s="103"/>
      <c r="F136" s="9"/>
      <c r="G136" s="65"/>
      <c r="H136" s="65"/>
      <c r="I136" s="9">
        <f t="shared" si="16"/>
        <v>71442</v>
      </c>
    </row>
    <row r="137" spans="2:11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>
        <f t="shared" si="16"/>
        <v>72693</v>
      </c>
    </row>
    <row r="138" spans="2:11" x14ac:dyDescent="0.25">
      <c r="B138" s="8" t="s">
        <v>120</v>
      </c>
      <c r="C138" s="88">
        <v>500</v>
      </c>
      <c r="D138" s="113">
        <v>500</v>
      </c>
      <c r="E138" s="113"/>
      <c r="F138" s="82"/>
      <c r="G138" s="13"/>
      <c r="H138" s="13"/>
      <c r="I138" s="9">
        <f t="shared" si="16"/>
        <v>1000</v>
      </c>
    </row>
    <row r="139" spans="2:11" x14ac:dyDescent="0.25">
      <c r="B139" s="8" t="s">
        <v>121</v>
      </c>
      <c r="C139" s="110">
        <v>4300</v>
      </c>
      <c r="D139" s="9"/>
      <c r="E139" s="9"/>
      <c r="F139" s="9"/>
      <c r="G139" s="9"/>
      <c r="H139" s="9"/>
      <c r="I139" s="9">
        <f t="shared" si="16"/>
        <v>4300</v>
      </c>
    </row>
    <row r="140" spans="2:11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>
        <f t="shared" si="16"/>
        <v>1200</v>
      </c>
    </row>
    <row r="141" spans="2:11" x14ac:dyDescent="0.25">
      <c r="B141" s="8" t="s">
        <v>161</v>
      </c>
      <c r="C141" s="103">
        <v>20</v>
      </c>
      <c r="D141" s="9"/>
      <c r="E141" s="9"/>
      <c r="F141" s="9"/>
      <c r="G141" s="9"/>
      <c r="H141" s="9"/>
      <c r="I141" s="9">
        <f t="shared" si="16"/>
        <v>20</v>
      </c>
    </row>
    <row r="142" spans="2:11" x14ac:dyDescent="0.25">
      <c r="B142" s="8" t="s">
        <v>123</v>
      </c>
      <c r="C142" s="103">
        <v>1100</v>
      </c>
      <c r="D142" s="9">
        <v>100</v>
      </c>
      <c r="E142" s="9"/>
      <c r="F142" s="9"/>
      <c r="G142" s="9"/>
      <c r="H142" s="9"/>
      <c r="I142" s="9">
        <f t="shared" si="16"/>
        <v>1200</v>
      </c>
    </row>
    <row r="143" spans="2:11" x14ac:dyDescent="0.25">
      <c r="B143" s="8" t="s">
        <v>124</v>
      </c>
      <c r="C143" s="103">
        <v>1200</v>
      </c>
      <c r="D143" s="9"/>
      <c r="E143" s="9"/>
      <c r="F143" s="9"/>
      <c r="G143" s="9"/>
      <c r="H143" s="9"/>
      <c r="I143" s="9">
        <f t="shared" si="16"/>
        <v>1200</v>
      </c>
    </row>
    <row r="144" spans="2:11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>
        <f>SUM(C144:G144)</f>
        <v>2700</v>
      </c>
    </row>
    <row r="145" spans="2:9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9">
        <f t="shared" si="16"/>
        <v>800</v>
      </c>
    </row>
    <row r="146" spans="2:9" ht="15.75" thickBot="1" x14ac:dyDescent="0.3">
      <c r="B146" s="46" t="s">
        <v>149</v>
      </c>
      <c r="C146" s="87"/>
      <c r="D146" s="87">
        <v>1090</v>
      </c>
      <c r="E146" s="87"/>
      <c r="F146" s="87"/>
      <c r="G146" s="44"/>
      <c r="H146" s="70"/>
      <c r="I146" s="70">
        <f>SUM(C146:G146)</f>
        <v>1090</v>
      </c>
    </row>
    <row r="147" spans="2:9" ht="15.75" thickBot="1" x14ac:dyDescent="0.3">
      <c r="B147" s="51" t="s">
        <v>127</v>
      </c>
      <c r="C147" s="44"/>
      <c r="D147" s="92">
        <v>2000</v>
      </c>
      <c r="E147" s="64"/>
      <c r="F147" s="64"/>
      <c r="G147" s="93"/>
      <c r="H147" s="93"/>
      <c r="I147" s="70">
        <f t="shared" ref="I147" si="17">SUM(C147:G147)</f>
        <v>2000</v>
      </c>
    </row>
    <row r="148" spans="2:9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>
        <f>SUM(F149:F152)</f>
        <v>66</v>
      </c>
      <c r="G148" s="78"/>
      <c r="H148" s="93"/>
      <c r="I148" s="70">
        <f>SUM(I149:I152)</f>
        <v>3066</v>
      </c>
    </row>
    <row r="149" spans="2:9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9">
        <f>SUM(C149:D149)</f>
        <v>1700</v>
      </c>
    </row>
    <row r="150" spans="2:9" x14ac:dyDescent="0.25">
      <c r="B150" s="8" t="s">
        <v>129</v>
      </c>
      <c r="C150" s="9"/>
      <c r="D150" s="9">
        <v>400</v>
      </c>
      <c r="E150" s="9"/>
      <c r="F150" s="9">
        <v>66</v>
      </c>
      <c r="G150" s="9"/>
      <c r="H150" s="9"/>
      <c r="I150" s="9">
        <f>SUM(C150:G150)</f>
        <v>466</v>
      </c>
    </row>
    <row r="151" spans="2:9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>
        <f t="shared" ref="I151:I152" si="18">SUM(C151:D151)</f>
        <v>600</v>
      </c>
    </row>
    <row r="152" spans="2:9" ht="15.75" thickBot="1" x14ac:dyDescent="0.3">
      <c r="B152" s="18" t="s">
        <v>131</v>
      </c>
      <c r="C152" s="1"/>
      <c r="D152" s="105">
        <v>300</v>
      </c>
      <c r="E152" s="1"/>
      <c r="F152" s="1"/>
      <c r="G152" s="1"/>
      <c r="H152" s="1"/>
      <c r="I152" s="9">
        <f t="shared" si="18"/>
        <v>300</v>
      </c>
    </row>
    <row r="153" spans="2:9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77"/>
      <c r="H153" s="97"/>
      <c r="I153" s="44">
        <f>SUM(C153:D153)</f>
        <v>1000</v>
      </c>
    </row>
    <row r="154" spans="2:9" ht="15.75" thickBot="1" x14ac:dyDescent="0.3">
      <c r="B154" s="41" t="s">
        <v>132</v>
      </c>
      <c r="C154" s="42"/>
      <c r="D154" s="43">
        <v>700</v>
      </c>
      <c r="E154" s="43"/>
      <c r="F154" s="43"/>
      <c r="G154" s="77"/>
      <c r="H154" s="97"/>
      <c r="I154" s="44">
        <f>SUM(C154:D154)</f>
        <v>700</v>
      </c>
    </row>
    <row r="155" spans="2:9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500</v>
      </c>
      <c r="F155" s="30">
        <f>SUM(F19,F20,F21,F29,F32,F57,F67,F92,F99,F124,F146,F147,F148,F153,F154,F22)</f>
        <v>5527</v>
      </c>
      <c r="G155" s="30">
        <f t="shared" ref="G155:H155" si="19">SUM(G19,G20,G21,G29,G32,G57,G67,G92,G99,G124,G146,G147,G148,G153,G154,G22)</f>
        <v>40</v>
      </c>
      <c r="H155" s="30">
        <f t="shared" si="19"/>
        <v>0</v>
      </c>
      <c r="I155" s="30">
        <f>SUM(I19,I20,I21,I22,I29,I32,I57,I67,I92,I99,I124,I146,I147,I148,I153,I154)</f>
        <v>3067599</v>
      </c>
    </row>
    <row r="156" spans="2:9" x14ac:dyDescent="0.25">
      <c r="B156" s="19" t="s">
        <v>163</v>
      </c>
      <c r="C156" s="20"/>
      <c r="D156" s="9"/>
      <c r="E156" s="63"/>
      <c r="F156" s="63"/>
      <c r="G156" s="75"/>
      <c r="H156" s="75"/>
      <c r="I156" s="2">
        <f>SUM(C156:H156)</f>
        <v>0</v>
      </c>
    </row>
    <row r="157" spans="2:9" x14ac:dyDescent="0.25">
      <c r="B157" s="19" t="s">
        <v>134</v>
      </c>
      <c r="C157" s="20"/>
      <c r="D157" s="9"/>
      <c r="E157" s="63"/>
      <c r="F157" s="63"/>
      <c r="G157" s="75"/>
      <c r="H157" s="98">
        <v>2797</v>
      </c>
      <c r="I157" s="2">
        <f t="shared" ref="I157:I170" si="20">SUM(C157:H157)</f>
        <v>2797</v>
      </c>
    </row>
    <row r="158" spans="2:9" x14ac:dyDescent="0.25">
      <c r="B158" s="19" t="s">
        <v>153</v>
      </c>
      <c r="C158" s="20"/>
      <c r="D158" s="9"/>
      <c r="E158" s="63"/>
      <c r="F158" s="63"/>
      <c r="G158" s="75"/>
      <c r="H158" s="75"/>
      <c r="I158" s="2">
        <f t="shared" si="20"/>
        <v>0</v>
      </c>
    </row>
    <row r="159" spans="2:9" x14ac:dyDescent="0.25">
      <c r="B159" s="21" t="s">
        <v>135</v>
      </c>
      <c r="C159" s="20"/>
      <c r="D159" s="9"/>
      <c r="E159" s="63"/>
      <c r="F159" s="63"/>
      <c r="G159" s="75"/>
      <c r="H159" s="75"/>
      <c r="I159" s="2">
        <f t="shared" si="20"/>
        <v>0</v>
      </c>
    </row>
    <row r="160" spans="2:9" x14ac:dyDescent="0.25">
      <c r="B160" s="21" t="s">
        <v>170</v>
      </c>
      <c r="C160" s="20"/>
      <c r="D160" s="9"/>
      <c r="E160" s="63"/>
      <c r="F160" s="63"/>
      <c r="G160" s="75"/>
      <c r="H160" s="75"/>
      <c r="I160" s="2">
        <f t="shared" si="20"/>
        <v>0</v>
      </c>
    </row>
    <row r="161" spans="1:13" x14ac:dyDescent="0.25">
      <c r="B161" s="21" t="s">
        <v>181</v>
      </c>
      <c r="C161" s="20"/>
      <c r="D161" s="9"/>
      <c r="E161" s="63"/>
      <c r="F161" s="63"/>
      <c r="G161" s="75"/>
      <c r="H161" s="75"/>
      <c r="I161" s="2">
        <f t="shared" si="20"/>
        <v>0</v>
      </c>
    </row>
    <row r="162" spans="1:13" x14ac:dyDescent="0.25">
      <c r="B162" s="21" t="s">
        <v>137</v>
      </c>
      <c r="C162" s="20"/>
      <c r="D162" s="9"/>
      <c r="E162" s="63"/>
      <c r="F162" s="63">
        <v>150</v>
      </c>
      <c r="G162" s="75"/>
      <c r="H162" s="75"/>
      <c r="I162" s="2">
        <f t="shared" si="20"/>
        <v>150</v>
      </c>
    </row>
    <row r="163" spans="1:13" x14ac:dyDescent="0.25">
      <c r="B163" s="19" t="s">
        <v>138</v>
      </c>
      <c r="C163" s="20"/>
      <c r="D163" s="103"/>
      <c r="E163" s="107"/>
      <c r="F163" s="107">
        <v>1600</v>
      </c>
      <c r="G163" s="75"/>
      <c r="H163" s="75"/>
      <c r="I163" s="2">
        <f t="shared" si="20"/>
        <v>1600</v>
      </c>
    </row>
    <row r="164" spans="1:13" x14ac:dyDescent="0.25">
      <c r="B164" s="21" t="s">
        <v>139</v>
      </c>
      <c r="C164" s="20"/>
      <c r="D164" s="103"/>
      <c r="E164" s="107"/>
      <c r="F164" s="107">
        <v>800</v>
      </c>
      <c r="G164" s="75"/>
      <c r="H164" s="75"/>
      <c r="I164" s="2">
        <f t="shared" si="20"/>
        <v>800</v>
      </c>
      <c r="L164" s="55"/>
    </row>
    <row r="165" spans="1:13" x14ac:dyDescent="0.25">
      <c r="B165" s="21" t="s">
        <v>171</v>
      </c>
      <c r="C165" s="20"/>
      <c r="D165" s="9"/>
      <c r="E165" s="63"/>
      <c r="F165" s="63">
        <v>50</v>
      </c>
      <c r="G165" s="75"/>
      <c r="H165" s="75"/>
      <c r="I165" s="2">
        <f t="shared" si="20"/>
        <v>50</v>
      </c>
    </row>
    <row r="166" spans="1:13" x14ac:dyDescent="0.25">
      <c r="B166" s="19" t="s">
        <v>140</v>
      </c>
      <c r="C166" s="20"/>
      <c r="D166" s="103"/>
      <c r="E166" s="107"/>
      <c r="F166" s="107">
        <v>500</v>
      </c>
      <c r="G166" s="75"/>
      <c r="H166" s="75"/>
      <c r="I166" s="2">
        <f t="shared" si="20"/>
        <v>500</v>
      </c>
    </row>
    <row r="167" spans="1:13" x14ac:dyDescent="0.25">
      <c r="B167" s="22" t="s">
        <v>141</v>
      </c>
      <c r="C167" s="20"/>
      <c r="D167" s="103">
        <v>500</v>
      </c>
      <c r="E167" s="107"/>
      <c r="F167" s="107">
        <v>300</v>
      </c>
      <c r="G167" s="75">
        <v>14708</v>
      </c>
      <c r="H167" s="75"/>
      <c r="I167" s="2">
        <f t="shared" si="20"/>
        <v>15508</v>
      </c>
    </row>
    <row r="168" spans="1:13" x14ac:dyDescent="0.25">
      <c r="B168" s="19" t="s">
        <v>142</v>
      </c>
      <c r="C168" s="20"/>
      <c r="D168" s="9">
        <v>0</v>
      </c>
      <c r="E168" s="63"/>
      <c r="F168" s="63"/>
      <c r="G168" s="75"/>
      <c r="H168" s="75"/>
      <c r="I168" s="2">
        <f t="shared" si="20"/>
        <v>0</v>
      </c>
    </row>
    <row r="169" spans="1:13" x14ac:dyDescent="0.25">
      <c r="B169" s="19" t="s">
        <v>165</v>
      </c>
      <c r="C169" s="20"/>
      <c r="D169" s="103">
        <v>250</v>
      </c>
      <c r="E169" s="107"/>
      <c r="F169" s="107">
        <v>250</v>
      </c>
      <c r="G169" s="75"/>
      <c r="H169" s="75"/>
      <c r="I169" s="2">
        <f t="shared" si="20"/>
        <v>500</v>
      </c>
    </row>
    <row r="170" spans="1:13" ht="15.75" thickBot="1" x14ac:dyDescent="0.3">
      <c r="B170" s="19" t="s">
        <v>143</v>
      </c>
      <c r="C170" s="20"/>
      <c r="D170" s="103">
        <v>100</v>
      </c>
      <c r="E170" s="107"/>
      <c r="F170" s="107">
        <f>100-31</f>
        <v>69</v>
      </c>
      <c r="G170" s="75"/>
      <c r="H170" s="75"/>
      <c r="I170" s="2">
        <f t="shared" si="20"/>
        <v>169</v>
      </c>
    </row>
    <row r="171" spans="1:13" ht="13.5" customHeight="1" thickBot="1" x14ac:dyDescent="0.3">
      <c r="B171" s="29" t="s">
        <v>144</v>
      </c>
      <c r="C171" s="30">
        <f t="shared" ref="C171:I171" si="21">SUM(C156:C170)</f>
        <v>0</v>
      </c>
      <c r="D171" s="30">
        <f>SUM(D156:D170)</f>
        <v>850</v>
      </c>
      <c r="E171" s="30"/>
      <c r="F171" s="30">
        <f>SUM(F156:F170)</f>
        <v>3719</v>
      </c>
      <c r="G171" s="30">
        <f t="shared" si="21"/>
        <v>14708</v>
      </c>
      <c r="H171" s="30">
        <f t="shared" si="21"/>
        <v>2797</v>
      </c>
      <c r="I171" s="30">
        <f t="shared" si="21"/>
        <v>22074</v>
      </c>
    </row>
    <row r="172" spans="1:13" ht="16.5" customHeight="1" thickBot="1" x14ac:dyDescent="0.3">
      <c r="B172" s="34" t="s">
        <v>145</v>
      </c>
      <c r="C172" s="35">
        <f t="shared" ref="C172:H172" si="22">C155+C171</f>
        <v>2993032</v>
      </c>
      <c r="D172" s="35">
        <f>D155+D171</f>
        <v>69350</v>
      </c>
      <c r="E172" s="35">
        <f>E155+E171</f>
        <v>500</v>
      </c>
      <c r="F172" s="35">
        <f t="shared" si="22"/>
        <v>9246</v>
      </c>
      <c r="G172" s="35">
        <f t="shared" si="22"/>
        <v>14748</v>
      </c>
      <c r="H172" s="35">
        <f t="shared" si="22"/>
        <v>2797</v>
      </c>
      <c r="I172" s="35">
        <f>I155+I171</f>
        <v>3089673</v>
      </c>
      <c r="M172" s="55"/>
    </row>
    <row r="173" spans="1:13" ht="96.75" customHeight="1" x14ac:dyDescent="0.25">
      <c r="A173" s="81"/>
      <c r="B173" s="140" t="s">
        <v>202</v>
      </c>
      <c r="C173" s="140"/>
      <c r="D173" s="140"/>
      <c r="E173" s="140"/>
      <c r="F173" s="140"/>
      <c r="G173" s="140"/>
      <c r="H173" s="140"/>
      <c r="I173" s="140"/>
    </row>
    <row r="174" spans="1:13" ht="15" customHeight="1" x14ac:dyDescent="0.25">
      <c r="D174" s="141" t="s">
        <v>174</v>
      </c>
      <c r="E174" s="141"/>
      <c r="F174" s="141"/>
      <c r="G174" s="141"/>
      <c r="H174" s="141"/>
      <c r="I174" s="141"/>
    </row>
    <row r="175" spans="1:13" ht="1.5" hidden="1" customHeight="1" x14ac:dyDescent="0.25">
      <c r="D175" s="141" t="s">
        <v>175</v>
      </c>
      <c r="E175" s="141"/>
      <c r="F175" s="141"/>
      <c r="G175" s="141"/>
      <c r="H175" s="141"/>
      <c r="I175" s="141"/>
    </row>
    <row r="176" spans="1:13" hidden="1" x14ac:dyDescent="0.25">
      <c r="C176" s="55"/>
      <c r="D176" s="141"/>
      <c r="E176" s="141"/>
      <c r="F176" s="141"/>
      <c r="G176" s="141"/>
      <c r="H176" s="141"/>
      <c r="I176" s="141"/>
    </row>
  </sheetData>
  <mergeCells count="5">
    <mergeCell ref="B2:I2"/>
    <mergeCell ref="B3:I3"/>
    <mergeCell ref="B173:I173"/>
    <mergeCell ref="D174:I174"/>
    <mergeCell ref="D175:I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33" zoomScale="120" zoomScaleNormal="120" workbookViewId="0">
      <selection activeCell="C150" sqref="C15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192</v>
      </c>
      <c r="B3" s="143"/>
      <c r="C3" s="143"/>
    </row>
    <row r="4" spans="1:3" ht="15.75" thickBot="1" x14ac:dyDescent="0.3">
      <c r="A4" s="58"/>
      <c r="B4" s="5" t="s">
        <v>1</v>
      </c>
      <c r="C4" s="102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3089673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11600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390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30210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400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7300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10751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3701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3500</v>
      </c>
      <c r="C98" s="59" t="s">
        <v>8</v>
      </c>
    </row>
    <row r="99" spans="1:3" ht="15.75" thickBot="1" x14ac:dyDescent="0.3">
      <c r="A99" s="41" t="s">
        <v>87</v>
      </c>
      <c r="B99" s="45">
        <v>32370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4000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214814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750</v>
      </c>
      <c r="C133" s="59" t="s">
        <v>196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3067599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2797</v>
      </c>
      <c r="C157" s="59" t="s">
        <v>190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0</v>
      </c>
      <c r="C161" s="59"/>
    </row>
    <row r="162" spans="1:3" x14ac:dyDescent="0.25">
      <c r="A162" s="21" t="s">
        <v>137</v>
      </c>
      <c r="B162" s="2">
        <v>150</v>
      </c>
      <c r="C162" s="59" t="s">
        <v>193</v>
      </c>
    </row>
    <row r="163" spans="1:3" x14ac:dyDescent="0.25">
      <c r="A163" s="19" t="s">
        <v>138</v>
      </c>
      <c r="B163" s="2">
        <v>1600</v>
      </c>
      <c r="C163" s="59" t="s">
        <v>193</v>
      </c>
    </row>
    <row r="164" spans="1:3" x14ac:dyDescent="0.25">
      <c r="A164" s="21" t="s">
        <v>139</v>
      </c>
      <c r="B164" s="2">
        <v>800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500</v>
      </c>
      <c r="C166" s="59" t="s">
        <v>193</v>
      </c>
    </row>
    <row r="167" spans="1:3" x14ac:dyDescent="0.25">
      <c r="A167" s="22" t="s">
        <v>141</v>
      </c>
      <c r="B167" s="2">
        <v>15508</v>
      </c>
      <c r="C167" s="59" t="s">
        <v>210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500</v>
      </c>
      <c r="C169" s="59" t="s">
        <v>198</v>
      </c>
    </row>
    <row r="170" spans="1:3" ht="15.75" thickBot="1" x14ac:dyDescent="0.3">
      <c r="A170" s="19" t="s">
        <v>143</v>
      </c>
      <c r="B170" s="2">
        <v>169</v>
      </c>
      <c r="C170" s="59" t="s">
        <v>198</v>
      </c>
    </row>
    <row r="171" spans="1:3" ht="16.5" thickBot="1" x14ac:dyDescent="0.3">
      <c r="A171" s="29" t="s">
        <v>144</v>
      </c>
      <c r="B171" s="30">
        <v>22074</v>
      </c>
      <c r="C171" s="60"/>
    </row>
    <row r="172" spans="1:3" ht="16.5" thickBot="1" x14ac:dyDescent="0.3">
      <c r="A172" s="34" t="s">
        <v>145</v>
      </c>
      <c r="B172" s="35">
        <v>3089673</v>
      </c>
      <c r="C172" s="61"/>
    </row>
    <row r="173" spans="1:3" x14ac:dyDescent="0.25">
      <c r="B173" s="141" t="s">
        <v>174</v>
      </c>
      <c r="C173" s="141"/>
    </row>
    <row r="174" spans="1:3" x14ac:dyDescent="0.25">
      <c r="B174" s="141" t="s">
        <v>176</v>
      </c>
      <c r="C174" s="141"/>
    </row>
    <row r="175" spans="1:3" x14ac:dyDescent="0.25">
      <c r="B175" s="141"/>
      <c r="C175" s="14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33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203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107">
        <v>1870</v>
      </c>
      <c r="F11" s="107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/>
      <c r="G12" s="63"/>
      <c r="H12" s="63"/>
      <c r="I12" s="63"/>
      <c r="J12" s="2">
        <f>SUM(C12:H12)</f>
        <v>500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78500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3170043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v>22550</v>
      </c>
      <c r="E19" s="45"/>
      <c r="F19" s="45"/>
      <c r="G19" s="45">
        <v>1109</v>
      </c>
      <c r="H19" s="45"/>
      <c r="I19" s="45"/>
      <c r="J19" s="45">
        <f>SUM(C19:H19)</f>
        <v>2538034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3400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31550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v>1200</v>
      </c>
      <c r="E25" s="7"/>
      <c r="F25" s="7"/>
      <c r="G25" s="7"/>
      <c r="H25" s="7"/>
      <c r="I25" s="7"/>
      <c r="J25" s="7">
        <f t="shared" ref="J25:J28" si="4">SUM(C25:H25)</f>
        <v>18550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</f>
        <v>2600</v>
      </c>
      <c r="D27" s="1">
        <v>200</v>
      </c>
      <c r="E27" s="9"/>
      <c r="F27" s="9"/>
      <c r="G27" s="9"/>
      <c r="H27" s="9"/>
      <c r="I27" s="7"/>
      <c r="J27" s="7">
        <f t="shared" si="4"/>
        <v>2800</v>
      </c>
    </row>
    <row r="28" spans="2:14" ht="15.75" thickBot="1" x14ac:dyDescent="0.3">
      <c r="B28" s="8" t="s">
        <v>164</v>
      </c>
      <c r="C28" s="72">
        <f>5600+2000</f>
        <v>7600</v>
      </c>
      <c r="D28" s="72">
        <v>1000</v>
      </c>
      <c r="E28" s="82"/>
      <c r="F28" s="82"/>
      <c r="G28" s="82"/>
      <c r="H28" s="13"/>
      <c r="I28" s="13"/>
      <c r="J28" s="7">
        <f t="shared" si="4"/>
        <v>8600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19100</v>
      </c>
      <c r="D67" s="42">
        <f>SUM(D68:D91)</f>
        <v>10670</v>
      </c>
      <c r="E67" s="42"/>
      <c r="F67" s="42"/>
      <c r="G67" s="42"/>
      <c r="H67" s="42">
        <f t="shared" ref="H67" si="9">SUM(H68:H91)</f>
        <v>40</v>
      </c>
      <c r="I67" s="94"/>
      <c r="J67" s="44">
        <f>SUM(J68:J91)</f>
        <v>29810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0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0"/>
        <v>100</v>
      </c>
    </row>
    <row r="70" spans="2:10" x14ac:dyDescent="0.25">
      <c r="B70" s="8" t="s">
        <v>59</v>
      </c>
      <c r="C70" s="9"/>
      <c r="D70" s="103">
        <v>300</v>
      </c>
      <c r="E70" s="63"/>
      <c r="F70" s="63"/>
      <c r="G70" s="63"/>
      <c r="H70" s="63"/>
      <c r="I70" s="63"/>
      <c r="J70" s="2">
        <f t="shared" si="10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0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0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0"/>
        <v>450</v>
      </c>
    </row>
    <row r="74" spans="2:10" x14ac:dyDescent="0.25">
      <c r="B74" s="8" t="s">
        <v>63</v>
      </c>
      <c r="C74" s="71">
        <v>5500</v>
      </c>
      <c r="D74" s="110">
        <v>1500</v>
      </c>
      <c r="E74" s="109"/>
      <c r="F74" s="109"/>
      <c r="G74" s="109"/>
      <c r="H74" s="63"/>
      <c r="I74" s="63"/>
      <c r="J74" s="2">
        <f t="shared" si="10"/>
        <v>7000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0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0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0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63"/>
      <c r="J78" s="2">
        <f t="shared" si="10"/>
        <v>200</v>
      </c>
    </row>
    <row r="79" spans="2:10" x14ac:dyDescent="0.25">
      <c r="B79" s="8" t="s">
        <v>68</v>
      </c>
      <c r="C79" s="9"/>
      <c r="D79" s="9">
        <v>150</v>
      </c>
      <c r="E79" s="63"/>
      <c r="F79" s="63"/>
      <c r="G79" s="63"/>
      <c r="H79" s="63"/>
      <c r="I79" s="63"/>
      <c r="J79" s="2">
        <f t="shared" si="10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63"/>
      <c r="J80" s="2">
        <f t="shared" si="10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63"/>
      <c r="G81" s="63"/>
      <c r="H81" s="63">
        <v>40</v>
      </c>
      <c r="I81" s="63"/>
      <c r="J81" s="2">
        <f t="shared" si="10"/>
        <v>540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0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0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0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0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0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0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0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0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0"/>
        <v>350</v>
      </c>
    </row>
    <row r="91" spans="2:10" ht="15.75" thickBot="1" x14ac:dyDescent="0.3">
      <c r="B91" s="12" t="s">
        <v>80</v>
      </c>
      <c r="C91" s="1"/>
      <c r="D91" s="1">
        <f>1920</f>
        <v>1920</v>
      </c>
      <c r="E91" s="37"/>
      <c r="F91" s="37"/>
      <c r="G91" s="37"/>
      <c r="H91" s="37"/>
      <c r="I91" s="37"/>
      <c r="J91" s="2">
        <f t="shared" si="10"/>
        <v>1920</v>
      </c>
    </row>
    <row r="92" spans="2:10" ht="15.75" thickBot="1" x14ac:dyDescent="0.3">
      <c r="B92" s="41" t="s">
        <v>81</v>
      </c>
      <c r="C92" s="45">
        <f>SUM(C93:C98)</f>
        <v>650</v>
      </c>
      <c r="D92" s="45">
        <f t="shared" ref="D92:H92" si="11">SUM(D93:D98)</f>
        <v>8000</v>
      </c>
      <c r="E92" s="45">
        <f t="shared" si="11"/>
        <v>1870</v>
      </c>
      <c r="F92" s="45"/>
      <c r="G92" s="45">
        <f t="shared" si="11"/>
        <v>2047</v>
      </c>
      <c r="H92" s="45">
        <f t="shared" si="11"/>
        <v>0</v>
      </c>
      <c r="I92" s="45"/>
      <c r="J92" s="45">
        <f>SUM(J93:J98)</f>
        <v>12567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2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v>500</v>
      </c>
      <c r="D96" s="9">
        <v>2100</v>
      </c>
      <c r="E96" s="63"/>
      <c r="F96" s="63"/>
      <c r="G96" s="107">
        <f>1101-54</f>
        <v>1047</v>
      </c>
      <c r="H96" s="63"/>
      <c r="I96" s="63"/>
      <c r="J96" s="9">
        <f t="shared" si="12"/>
        <v>3647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2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104">
        <v>1870</v>
      </c>
      <c r="F98" s="104"/>
      <c r="G98" s="84"/>
      <c r="H98" s="37"/>
      <c r="I98" s="37"/>
      <c r="J98" s="2">
        <f t="shared" si="12"/>
        <v>5370</v>
      </c>
    </row>
    <row r="99" spans="2:10" ht="15.75" thickBot="1" x14ac:dyDescent="0.3">
      <c r="B99" s="41" t="s">
        <v>87</v>
      </c>
      <c r="C99" s="45">
        <f>SUM(C100:C123)</f>
        <v>28400</v>
      </c>
      <c r="D99" s="45">
        <f t="shared" ref="D99:J99" si="13">SUM(D100:D123)</f>
        <v>3870</v>
      </c>
      <c r="E99" s="45">
        <f t="shared" si="13"/>
        <v>500</v>
      </c>
      <c r="F99" s="45"/>
      <c r="G99" s="45"/>
      <c r="H99" s="45">
        <f t="shared" si="13"/>
        <v>0</v>
      </c>
      <c r="I99" s="45"/>
      <c r="J99" s="45">
        <f t="shared" si="13"/>
        <v>32770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4">SUM(C101:H101)</f>
        <v>200</v>
      </c>
    </row>
    <row r="102" spans="2:10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/>
      <c r="J102" s="9">
        <f t="shared" si="14"/>
        <v>1200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4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4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4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4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4"/>
        <v>0</v>
      </c>
    </row>
    <row r="108" spans="2:10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/>
      <c r="J108" s="9">
        <f t="shared" si="14"/>
        <v>2300</v>
      </c>
    </row>
    <row r="109" spans="2:10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/>
      <c r="J109" s="9">
        <f t="shared" si="14"/>
        <v>1200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4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4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4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4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4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4"/>
        <v>0</v>
      </c>
    </row>
    <row r="116" spans="2:14" x14ac:dyDescent="0.25">
      <c r="B116" s="8" t="s">
        <v>101</v>
      </c>
      <c r="C116" s="103">
        <f>200+100+100</f>
        <v>400</v>
      </c>
      <c r="D116" s="103">
        <f>600+400</f>
        <v>1000</v>
      </c>
      <c r="E116" s="9"/>
      <c r="F116" s="9"/>
      <c r="G116" s="9"/>
      <c r="H116" s="9"/>
      <c r="I116" s="9"/>
      <c r="J116" s="9">
        <f t="shared" si="14"/>
        <v>1400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4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4"/>
        <v>1200</v>
      </c>
    </row>
    <row r="119" spans="2:14" x14ac:dyDescent="0.25">
      <c r="B119" s="8" t="s">
        <v>104</v>
      </c>
      <c r="C119" s="110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4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4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4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4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4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5">SUM(D125:D145)</f>
        <v>4600</v>
      </c>
      <c r="E124" s="45">
        <f t="shared" si="15"/>
        <v>0</v>
      </c>
      <c r="F124" s="45"/>
      <c r="G124" s="45">
        <f t="shared" si="15"/>
        <v>437</v>
      </c>
      <c r="H124" s="45"/>
      <c r="I124" s="45"/>
      <c r="J124" s="45">
        <f>SUM(J125:J145)</f>
        <v>214868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6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/>
      <c r="J127" s="9">
        <f t="shared" si="16"/>
        <v>1200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6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6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6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6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6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103">
        <v>54</v>
      </c>
      <c r="H133" s="9"/>
      <c r="I133" s="9"/>
      <c r="J133" s="9">
        <f t="shared" si="16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6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6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6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6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82"/>
      <c r="G138" s="82"/>
      <c r="H138" s="13"/>
      <c r="I138" s="13"/>
      <c r="J138" s="9">
        <f t="shared" si="16"/>
        <v>1000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6"/>
        <v>4300</v>
      </c>
    </row>
    <row r="140" spans="2:12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/>
      <c r="J140" s="9">
        <f t="shared" si="16"/>
        <v>1200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6"/>
        <v>20</v>
      </c>
    </row>
    <row r="142" spans="2:12" x14ac:dyDescent="0.25">
      <c r="B142" s="8" t="s">
        <v>123</v>
      </c>
      <c r="C142" s="9">
        <v>1100</v>
      </c>
      <c r="D142" s="9">
        <v>100</v>
      </c>
      <c r="E142" s="9"/>
      <c r="F142" s="9"/>
      <c r="G142" s="9"/>
      <c r="H142" s="9"/>
      <c r="I142" s="9"/>
      <c r="J142" s="9">
        <f t="shared" si="16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6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1"/>
      <c r="J145" s="9">
        <f t="shared" si="16"/>
        <v>800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v>2000</v>
      </c>
      <c r="E147" s="64"/>
      <c r="F147" s="64"/>
      <c r="G147" s="64"/>
      <c r="H147" s="93"/>
      <c r="I147" s="93"/>
      <c r="J147" s="70">
        <f t="shared" ref="J147" si="17">SUM(C147:H147)</f>
        <v>2000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8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8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2370</v>
      </c>
      <c r="F155" s="30"/>
      <c r="G155" s="30">
        <f>SUM(G19,G20,G21,G29,G32,G57,G67,G92,G99,G124,G146,G147,G148,G153,G154,G22)</f>
        <v>5527</v>
      </c>
      <c r="H155" s="30">
        <f t="shared" ref="H155:I155" si="19">SUM(H19,H20,H21,H29,H32,H57,H67,H92,H99,H124,H146,H147,H148,H153,H154,H22)</f>
        <v>40</v>
      </c>
      <c r="I155" s="30">
        <f t="shared" si="19"/>
        <v>0</v>
      </c>
      <c r="J155" s="30">
        <f>SUM(J19,J20,J21,J22,J29,J32,J57,J67,J92,J99,J124,J146,J147,J148,J153,J154)</f>
        <v>3069469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f>6000+8000</f>
        <v>14000</v>
      </c>
      <c r="G157" s="63"/>
      <c r="H157" s="75"/>
      <c r="I157" s="98">
        <v>2797</v>
      </c>
      <c r="J157" s="2">
        <f t="shared" ref="J157:J170" si="20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107"/>
      <c r="G158" s="63"/>
      <c r="H158" s="75"/>
      <c r="I158" s="75"/>
      <c r="J158" s="2">
        <f t="shared" si="20"/>
        <v>0</v>
      </c>
    </row>
    <row r="159" spans="2:10" x14ac:dyDescent="0.25">
      <c r="B159" s="21" t="s">
        <v>135</v>
      </c>
      <c r="C159" s="20"/>
      <c r="D159" s="9"/>
      <c r="E159" s="63"/>
      <c r="F159" s="107"/>
      <c r="G159" s="63"/>
      <c r="H159" s="75"/>
      <c r="I159" s="75"/>
      <c r="J159" s="2">
        <f t="shared" si="20"/>
        <v>0</v>
      </c>
    </row>
    <row r="160" spans="2:10" x14ac:dyDescent="0.25">
      <c r="B160" s="21" t="s">
        <v>170</v>
      </c>
      <c r="C160" s="20"/>
      <c r="D160" s="9"/>
      <c r="E160" s="63"/>
      <c r="F160" s="107"/>
      <c r="G160" s="63"/>
      <c r="H160" s="75"/>
      <c r="I160" s="75"/>
      <c r="J160" s="2">
        <f t="shared" si="20"/>
        <v>0</v>
      </c>
    </row>
    <row r="161" spans="1:14" x14ac:dyDescent="0.25">
      <c r="B161" s="21" t="s">
        <v>181</v>
      </c>
      <c r="C161" s="20"/>
      <c r="D161" s="9"/>
      <c r="E161" s="63"/>
      <c r="F161" s="107">
        <v>7500</v>
      </c>
      <c r="G161" s="63"/>
      <c r="H161" s="75"/>
      <c r="I161" s="75"/>
      <c r="J161" s="2">
        <f t="shared" si="20"/>
        <v>7500</v>
      </c>
    </row>
    <row r="162" spans="1:14" x14ac:dyDescent="0.25">
      <c r="B162" s="21" t="s">
        <v>137</v>
      </c>
      <c r="C162" s="20"/>
      <c r="D162" s="9"/>
      <c r="E162" s="63"/>
      <c r="F162" s="107">
        <v>28000</v>
      </c>
      <c r="G162" s="63"/>
      <c r="H162" s="75"/>
      <c r="I162" s="75"/>
      <c r="J162" s="2">
        <f t="shared" si="20"/>
        <v>28000</v>
      </c>
    </row>
    <row r="163" spans="1:14" x14ac:dyDescent="0.25">
      <c r="B163" s="19" t="s">
        <v>138</v>
      </c>
      <c r="C163" s="20"/>
      <c r="D163" s="9"/>
      <c r="E163" s="63"/>
      <c r="F163" s="107">
        <v>19000</v>
      </c>
      <c r="G163" s="107">
        <v>100</v>
      </c>
      <c r="H163" s="75"/>
      <c r="I163" s="75"/>
      <c r="J163" s="2">
        <f t="shared" si="20"/>
        <v>19100</v>
      </c>
    </row>
    <row r="164" spans="1:14" x14ac:dyDescent="0.25">
      <c r="B164" s="21" t="s">
        <v>139</v>
      </c>
      <c r="C164" s="20"/>
      <c r="D164" s="9"/>
      <c r="E164" s="63"/>
      <c r="F164" s="107"/>
      <c r="G164" s="107">
        <v>1200</v>
      </c>
      <c r="H164" s="75"/>
      <c r="I164" s="75"/>
      <c r="J164" s="2">
        <f t="shared" si="20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107"/>
      <c r="G165" s="63">
        <v>50</v>
      </c>
      <c r="H165" s="75"/>
      <c r="I165" s="75"/>
      <c r="J165" s="2">
        <f t="shared" si="20"/>
        <v>50</v>
      </c>
    </row>
    <row r="166" spans="1:14" x14ac:dyDescent="0.25">
      <c r="B166" s="19" t="s">
        <v>140</v>
      </c>
      <c r="C166" s="20"/>
      <c r="D166" s="9"/>
      <c r="E166" s="63"/>
      <c r="F166" s="107"/>
      <c r="G166" s="107">
        <v>1200</v>
      </c>
      <c r="H166" s="75"/>
      <c r="I166" s="75"/>
      <c r="J166" s="2">
        <f t="shared" si="20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107">
        <v>10000</v>
      </c>
      <c r="G167" s="107">
        <v>500</v>
      </c>
      <c r="H167" s="75">
        <v>14708</v>
      </c>
      <c r="I167" s="75"/>
      <c r="J167" s="2">
        <f t="shared" si="20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107"/>
      <c r="G168" s="63"/>
      <c r="H168" s="75"/>
      <c r="I168" s="75"/>
      <c r="J168" s="2">
        <f t="shared" si="20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107"/>
      <c r="G169" s="107">
        <v>300</v>
      </c>
      <c r="H169" s="75"/>
      <c r="I169" s="75"/>
      <c r="J169" s="2">
        <f t="shared" si="20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107"/>
      <c r="G170" s="107">
        <v>369</v>
      </c>
      <c r="H170" s="75"/>
      <c r="I170" s="75"/>
      <c r="J170" s="2">
        <f t="shared" si="20"/>
        <v>469</v>
      </c>
    </row>
    <row r="171" spans="1:14" ht="13.5" customHeight="1" thickBot="1" x14ac:dyDescent="0.3">
      <c r="B171" s="29" t="s">
        <v>144</v>
      </c>
      <c r="C171" s="30">
        <f t="shared" ref="C171:J171" si="21">SUM(C156:C170)</f>
        <v>0</v>
      </c>
      <c r="D171" s="30">
        <f>SUM(D156:D170)</f>
        <v>850</v>
      </c>
      <c r="E171" s="30">
        <f t="shared" ref="E171:F171" si="22">SUM(E156:E170)</f>
        <v>0</v>
      </c>
      <c r="F171" s="30">
        <f t="shared" si="22"/>
        <v>78500</v>
      </c>
      <c r="G171" s="30">
        <f>SUM(G156:G170)</f>
        <v>3719</v>
      </c>
      <c r="H171" s="30">
        <f t="shared" si="21"/>
        <v>14708</v>
      </c>
      <c r="I171" s="30">
        <f t="shared" si="21"/>
        <v>2797</v>
      </c>
      <c r="J171" s="30">
        <f t="shared" si="21"/>
        <v>100574</v>
      </c>
    </row>
    <row r="172" spans="1:14" ht="16.5" customHeight="1" thickBot="1" x14ac:dyDescent="0.3">
      <c r="B172" s="34" t="s">
        <v>145</v>
      </c>
      <c r="C172" s="35">
        <f t="shared" ref="C172:I172" si="23">C155+C171</f>
        <v>2993032</v>
      </c>
      <c r="D172" s="35">
        <f>D155+D171</f>
        <v>69350</v>
      </c>
      <c r="E172" s="35">
        <f>E155+E171</f>
        <v>2370</v>
      </c>
      <c r="F172" s="35">
        <f>F155+F171</f>
        <v>78500</v>
      </c>
      <c r="G172" s="35">
        <f t="shared" si="23"/>
        <v>9246</v>
      </c>
      <c r="H172" s="35">
        <f t="shared" si="23"/>
        <v>14748</v>
      </c>
      <c r="I172" s="35">
        <f t="shared" si="23"/>
        <v>2797</v>
      </c>
      <c r="J172" s="35">
        <f>J155+J171</f>
        <v>3170043</v>
      </c>
      <c r="N172" s="55"/>
    </row>
    <row r="173" spans="1:14" ht="124.5" customHeight="1" x14ac:dyDescent="0.25">
      <c r="A173" s="81"/>
      <c r="B173" s="140" t="s">
        <v>211</v>
      </c>
      <c r="C173" s="140"/>
      <c r="D173" s="140"/>
      <c r="E173" s="140"/>
      <c r="F173" s="140"/>
      <c r="G173" s="140"/>
      <c r="H173" s="140"/>
      <c r="I173" s="140"/>
      <c r="J173" s="140"/>
    </row>
    <row r="174" spans="1:14" ht="15" customHeight="1" x14ac:dyDescent="0.25">
      <c r="D174" s="141" t="s">
        <v>174</v>
      </c>
      <c r="E174" s="141"/>
      <c r="F174" s="141"/>
      <c r="G174" s="141"/>
      <c r="H174" s="141"/>
      <c r="I174" s="141"/>
      <c r="J174" s="141"/>
    </row>
    <row r="175" spans="1:14" ht="1.5" hidden="1" customHeight="1" x14ac:dyDescent="0.25">
      <c r="D175" s="141" t="s">
        <v>175</v>
      </c>
      <c r="E175" s="141"/>
      <c r="F175" s="141"/>
      <c r="G175" s="141"/>
      <c r="H175" s="141"/>
      <c r="I175" s="141"/>
      <c r="J175" s="141"/>
    </row>
    <row r="176" spans="1:14" hidden="1" x14ac:dyDescent="0.25">
      <c r="C176" s="55"/>
      <c r="D176" s="141"/>
      <c r="E176" s="141"/>
      <c r="F176" s="141"/>
      <c r="G176" s="141"/>
      <c r="H176" s="141"/>
      <c r="I176" s="141"/>
      <c r="J176" s="141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27" zoomScale="120" zoomScaleNormal="120" workbookViewId="0">
      <selection activeCell="C148" sqref="C148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203</v>
      </c>
      <c r="B3" s="143"/>
      <c r="C3" s="143"/>
    </row>
    <row r="4" spans="1:3" ht="15.75" thickBot="1" x14ac:dyDescent="0.3">
      <c r="A4" s="58"/>
      <c r="B4" s="5" t="s">
        <v>1</v>
      </c>
      <c r="C4" s="116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3170043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29810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7000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12567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3647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32770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1400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214868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3069469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3170043</v>
      </c>
      <c r="C172" s="61"/>
    </row>
    <row r="173" spans="1:3" x14ac:dyDescent="0.25">
      <c r="B173" s="141" t="s">
        <v>174</v>
      </c>
      <c r="C173" s="141"/>
    </row>
    <row r="174" spans="1:3" x14ac:dyDescent="0.25">
      <c r="B174" s="141" t="s">
        <v>176</v>
      </c>
      <c r="C174" s="141"/>
    </row>
    <row r="175" spans="1:3" x14ac:dyDescent="0.25">
      <c r="B175" s="141"/>
      <c r="C175" s="14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" zoomScale="120" zoomScaleNormal="120" workbookViewId="0">
      <selection activeCell="M12" sqref="M12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212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</f>
        <v>8390</v>
      </c>
      <c r="G12" s="63"/>
      <c r="H12" s="63"/>
      <c r="I12" s="63"/>
      <c r="J12" s="2">
        <f>SUM(C12:H12)</f>
        <v>8890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86890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3178433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</f>
        <v>5939</v>
      </c>
      <c r="G19" s="45">
        <v>1109</v>
      </c>
      <c r="H19" s="45"/>
      <c r="I19" s="45"/>
      <c r="J19" s="45">
        <f>SUM(C19:H19)</f>
        <v>2543973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30900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103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115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18600</v>
      </c>
      <c r="D67" s="42">
        <f>SUM(D68:D91)</f>
        <v>10670</v>
      </c>
      <c r="E67" s="42">
        <f t="shared" ref="E67:F67" si="9">SUM(E68:E91)</f>
        <v>0</v>
      </c>
      <c r="F67" s="42">
        <f t="shared" si="9"/>
        <v>1962</v>
      </c>
      <c r="G67" s="42"/>
      <c r="H67" s="42">
        <f t="shared" ref="H67" si="10">SUM(H68:H91)</f>
        <v>40</v>
      </c>
      <c r="I67" s="94"/>
      <c r="J67" s="44">
        <f>SUM(J68:J91)</f>
        <v>31272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v>1500</v>
      </c>
      <c r="E74" s="109"/>
      <c r="F74" s="109"/>
      <c r="G74" s="109"/>
      <c r="H74" s="63"/>
      <c r="I74" s="63"/>
      <c r="J74" s="2">
        <f t="shared" si="11"/>
        <v>6500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1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v>660</v>
      </c>
      <c r="G78" s="63"/>
      <c r="H78" s="63"/>
      <c r="I78" s="63"/>
      <c r="J78" s="2">
        <f t="shared" si="11"/>
        <v>860</v>
      </c>
    </row>
    <row r="79" spans="2:10" x14ac:dyDescent="0.25">
      <c r="B79" s="8" t="s">
        <v>68</v>
      </c>
      <c r="C79" s="9"/>
      <c r="D79" s="9">
        <v>150</v>
      </c>
      <c r="E79" s="63"/>
      <c r="F79" s="107"/>
      <c r="G79" s="63"/>
      <c r="H79" s="63"/>
      <c r="I79" s="63"/>
      <c r="J79" s="2">
        <f t="shared" si="11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107"/>
      <c r="G80" s="63"/>
      <c r="H80" s="63"/>
      <c r="I80" s="63"/>
      <c r="J80" s="2">
        <f t="shared" si="11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v>125</v>
      </c>
      <c r="G81" s="63"/>
      <c r="H81" s="63">
        <v>40</v>
      </c>
      <c r="I81" s="63"/>
      <c r="J81" s="2">
        <f t="shared" si="11"/>
        <v>665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v>1177</v>
      </c>
      <c r="G91" s="37"/>
      <c r="H91" s="37"/>
      <c r="I91" s="37"/>
      <c r="J91" s="2">
        <f t="shared" si="11"/>
        <v>3097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8000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12717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3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28700</v>
      </c>
      <c r="D99" s="45">
        <f t="shared" ref="D99:J99" si="14">SUM(D100:D123)</f>
        <v>3870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33070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0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110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5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</f>
        <v>600</v>
      </c>
      <c r="D116" s="9">
        <f>600+400</f>
        <v>1000</v>
      </c>
      <c r="E116" s="9"/>
      <c r="F116" s="9"/>
      <c r="G116" s="9"/>
      <c r="H116" s="9"/>
      <c r="I116" s="9"/>
      <c r="J116" s="9">
        <f t="shared" si="15"/>
        <v>1600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209881</v>
      </c>
      <c r="D124" s="45">
        <f t="shared" ref="D124:G124" si="16">SUM(D125:D145)</f>
        <v>5800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7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103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7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7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113">
        <v>445</v>
      </c>
      <c r="G138" s="82"/>
      <c r="H138" s="13"/>
      <c r="I138" s="13"/>
      <c r="J138" s="9">
        <f t="shared" si="17"/>
        <v>1445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103">
        <f>1100-100</f>
        <v>1000</v>
      </c>
      <c r="D142" s="9">
        <v>100</v>
      </c>
      <c r="E142" s="9"/>
      <c r="F142" s="9"/>
      <c r="G142" s="9"/>
      <c r="H142" s="9"/>
      <c r="I142" s="9"/>
      <c r="J142" s="9">
        <f t="shared" si="17"/>
        <v>1100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05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</f>
        <v>1450</v>
      </c>
      <c r="E147" s="64"/>
      <c r="F147" s="64"/>
      <c r="G147" s="64"/>
      <c r="H147" s="93"/>
      <c r="I147" s="93"/>
      <c r="J147" s="70">
        <f t="shared" ref="J147" si="18">SUM(C147:H147)</f>
        <v>1450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 t="shared" ref="E155:G155" si="20">SUM(E19,E20,E21,E29,E32,E57,E67,E92,E99,E124,E146,E147,E148,E153,E154,E22)</f>
        <v>2370</v>
      </c>
      <c r="F155" s="30">
        <f t="shared" si="20"/>
        <v>8390</v>
      </c>
      <c r="G155" s="30">
        <f t="shared" si="20"/>
        <v>5527</v>
      </c>
      <c r="H155" s="30">
        <f t="shared" ref="H155:I155" si="21">SUM(H19,H20,H21,H29,H32,H57,H67,H92,H99,H124,H146,H147,H148,H153,H154,H22)</f>
        <v>40</v>
      </c>
      <c r="I155" s="30">
        <f t="shared" si="21"/>
        <v>0</v>
      </c>
      <c r="J155" s="30">
        <f>SUM(J19,J20,J21,J22,J29,J32,J57,J67,J92,J99,J124,J146,J147,J148,J153,J154)</f>
        <v>3077859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2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2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2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2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2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75">
        <v>14708</v>
      </c>
      <c r="I167" s="75"/>
      <c r="J167" s="2">
        <f t="shared" si="22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2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2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2"/>
        <v>469</v>
      </c>
    </row>
    <row r="171" spans="1:14" ht="13.5" customHeight="1" thickBot="1" x14ac:dyDescent="0.3">
      <c r="B171" s="29" t="s">
        <v>144</v>
      </c>
      <c r="C171" s="30">
        <f t="shared" ref="C171:J171" si="23">SUM(C156:C170)</f>
        <v>0</v>
      </c>
      <c r="D171" s="30">
        <f>SUM(D156:D170)</f>
        <v>850</v>
      </c>
      <c r="E171" s="30">
        <f t="shared" ref="E171:F171" si="24">SUM(E156:E170)</f>
        <v>0</v>
      </c>
      <c r="F171" s="30">
        <f t="shared" si="24"/>
        <v>78500</v>
      </c>
      <c r="G171" s="30">
        <f>SUM(G156:G170)</f>
        <v>3719</v>
      </c>
      <c r="H171" s="30">
        <f t="shared" si="23"/>
        <v>14708</v>
      </c>
      <c r="I171" s="30">
        <f t="shared" si="23"/>
        <v>2797</v>
      </c>
      <c r="J171" s="30">
        <f t="shared" si="23"/>
        <v>100574</v>
      </c>
    </row>
    <row r="172" spans="1:14" ht="16.5" customHeight="1" thickBot="1" x14ac:dyDescent="0.3">
      <c r="B172" s="34" t="s">
        <v>145</v>
      </c>
      <c r="C172" s="35">
        <f t="shared" ref="C172:I172" si="25">C155+C171</f>
        <v>2993032</v>
      </c>
      <c r="D172" s="35">
        <f>D155+D171</f>
        <v>69350</v>
      </c>
      <c r="E172" s="35">
        <f>E155+E171</f>
        <v>2370</v>
      </c>
      <c r="F172" s="35">
        <f>F155+F171</f>
        <v>86890</v>
      </c>
      <c r="G172" s="35">
        <f t="shared" si="25"/>
        <v>9246</v>
      </c>
      <c r="H172" s="35">
        <f t="shared" si="25"/>
        <v>14748</v>
      </c>
      <c r="I172" s="35">
        <f t="shared" si="25"/>
        <v>2797</v>
      </c>
      <c r="J172" s="35">
        <f>J155+J171</f>
        <v>3178433</v>
      </c>
      <c r="N172" s="55"/>
    </row>
    <row r="173" spans="1:14" ht="176.25" customHeight="1" x14ac:dyDescent="0.25">
      <c r="A173" s="81"/>
      <c r="B173" s="140" t="s">
        <v>216</v>
      </c>
      <c r="C173" s="140"/>
      <c r="D173" s="140"/>
      <c r="E173" s="140"/>
      <c r="F173" s="140"/>
      <c r="G173" s="140"/>
      <c r="H173" s="140"/>
      <c r="I173" s="140"/>
      <c r="J173" s="140"/>
    </row>
    <row r="174" spans="1:14" ht="15" customHeight="1" x14ac:dyDescent="0.25">
      <c r="D174" s="141" t="s">
        <v>174</v>
      </c>
      <c r="E174" s="141"/>
      <c r="F174" s="141"/>
      <c r="G174" s="141"/>
      <c r="H174" s="141"/>
      <c r="I174" s="141"/>
      <c r="J174" s="141"/>
    </row>
    <row r="175" spans="1:14" ht="1.5" hidden="1" customHeight="1" x14ac:dyDescent="0.25">
      <c r="D175" s="141" t="s">
        <v>175</v>
      </c>
      <c r="E175" s="141"/>
      <c r="F175" s="141"/>
      <c r="G175" s="141"/>
      <c r="H175" s="141"/>
      <c r="I175" s="141"/>
      <c r="J175" s="141"/>
    </row>
    <row r="176" spans="1:14" hidden="1" x14ac:dyDescent="0.25">
      <c r="C176" s="55"/>
      <c r="D176" s="141"/>
      <c r="E176" s="141"/>
      <c r="F176" s="141"/>
      <c r="G176" s="141"/>
      <c r="H176" s="141"/>
      <c r="I176" s="141"/>
      <c r="J176" s="141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51" zoomScale="120" zoomScaleNormal="120" workbookViewId="0">
      <selection activeCell="B15" sqref="B15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42" t="s">
        <v>0</v>
      </c>
      <c r="B2" s="142"/>
      <c r="C2" s="142"/>
    </row>
    <row r="3" spans="1:3" x14ac:dyDescent="0.25">
      <c r="A3" s="143" t="s">
        <v>212</v>
      </c>
      <c r="B3" s="143"/>
      <c r="C3" s="143"/>
    </row>
    <row r="4" spans="1:3" ht="15.75" thickBot="1" x14ac:dyDescent="0.3">
      <c r="A4" s="58"/>
      <c r="B4" s="5" t="s">
        <v>1</v>
      </c>
      <c r="C4" s="117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8890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3178433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2543973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30900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31272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6500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860</v>
      </c>
      <c r="C78" s="59" t="s">
        <v>206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665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3097</v>
      </c>
      <c r="C91" s="59" t="s">
        <v>206</v>
      </c>
    </row>
    <row r="92" spans="1:3" ht="15.75" thickBot="1" x14ac:dyDescent="0.3">
      <c r="A92" s="41" t="s">
        <v>81</v>
      </c>
      <c r="B92" s="45">
        <v>12717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33070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1600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1445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1100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1450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3077859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3178433</v>
      </c>
      <c r="C172" s="61"/>
    </row>
    <row r="173" spans="1:3" x14ac:dyDescent="0.25">
      <c r="B173" s="141" t="s">
        <v>174</v>
      </c>
      <c r="C173" s="141"/>
    </row>
    <row r="174" spans="1:3" x14ac:dyDescent="0.25">
      <c r="B174" s="141" t="s">
        <v>176</v>
      </c>
      <c r="C174" s="141"/>
    </row>
    <row r="175" spans="1:3" x14ac:dyDescent="0.25">
      <c r="B175" s="141"/>
      <c r="C175" s="141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60" zoomScale="120" zoomScaleNormal="120" workbookViewId="0">
      <selection activeCell="C27" sqref="C2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8" t="s">
        <v>0</v>
      </c>
      <c r="C2" s="138"/>
      <c r="D2" s="138"/>
      <c r="E2" s="138"/>
      <c r="F2" s="138"/>
      <c r="G2" s="138"/>
      <c r="H2" s="138"/>
      <c r="I2" s="138"/>
      <c r="J2" s="138"/>
    </row>
    <row r="3" spans="2:14" x14ac:dyDescent="0.25">
      <c r="B3" s="139" t="s">
        <v>217</v>
      </c>
      <c r="C3" s="139"/>
      <c r="D3" s="139"/>
      <c r="E3" s="139"/>
      <c r="F3" s="139"/>
      <c r="G3" s="139"/>
      <c r="H3" s="139"/>
      <c r="I3" s="139"/>
      <c r="J3" s="139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17.75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</f>
        <v>5050</v>
      </c>
      <c r="D10" s="9">
        <v>5200</v>
      </c>
      <c r="E10" s="63"/>
      <c r="F10" s="63"/>
      <c r="G10" s="107"/>
      <c r="H10" s="63"/>
      <c r="I10" s="63"/>
      <c r="J10" s="2">
        <f t="shared" si="0"/>
        <v>10250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2995582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3185930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17.75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5405</v>
      </c>
      <c r="E32" s="79"/>
      <c r="F32" s="79"/>
      <c r="G32" s="79">
        <f t="shared" si="5"/>
        <v>0</v>
      </c>
      <c r="H32" s="79"/>
      <c r="I32" s="79"/>
      <c r="J32" s="79">
        <f>SUM(J33:J56)</f>
        <v>104855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112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103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</f>
        <v>300</v>
      </c>
      <c r="E53" s="9"/>
      <c r="F53" s="9"/>
      <c r="G53" s="9"/>
      <c r="H53" s="9"/>
      <c r="I53" s="9"/>
      <c r="J53" s="9">
        <f t="shared" si="6"/>
        <v>300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106">
        <f>150-50</f>
        <v>100</v>
      </c>
      <c r="E58" s="106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103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110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112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103">
        <f>150+50</f>
        <v>200</v>
      </c>
      <c r="E79" s="63"/>
      <c r="F79" s="107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</f>
        <v>150</v>
      </c>
      <c r="D80" s="9"/>
      <c r="E80" s="63"/>
      <c r="F80" s="107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f>125+25+60</f>
        <v>210</v>
      </c>
      <c r="G81" s="63"/>
      <c r="H81" s="107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12767</v>
      </c>
    </row>
    <row r="93" spans="2:10" x14ac:dyDescent="0.25">
      <c r="B93" s="6" t="s">
        <v>82</v>
      </c>
      <c r="C93" s="106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103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30250</v>
      </c>
      <c r="D99" s="45">
        <f t="shared" ref="D99:J99" si="14">SUM(D100:D123)</f>
        <v>4170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34920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112">
        <f>8000+1550</f>
        <v>9550</v>
      </c>
      <c r="D110" s="9"/>
      <c r="E110" s="9"/>
      <c r="F110" s="9"/>
      <c r="G110" s="9"/>
      <c r="H110" s="9"/>
      <c r="I110" s="9"/>
      <c r="J110" s="9">
        <f t="shared" si="15"/>
        <v>9550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</f>
        <v>600</v>
      </c>
      <c r="D116" s="103">
        <f>600+400+300</f>
        <v>1300</v>
      </c>
      <c r="E116" s="9"/>
      <c r="F116" s="9"/>
      <c r="G116" s="9"/>
      <c r="H116" s="9"/>
      <c r="I116" s="9"/>
      <c r="J116" s="9">
        <f t="shared" si="15"/>
        <v>1900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209781</v>
      </c>
      <c r="D124" s="45">
        <f t="shared" ref="D124:G124" si="16">SUM(D125:D145)</f>
        <v>5700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216407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110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110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103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121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103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112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2995582</v>
      </c>
      <c r="D155" s="30">
        <f>SUM(D19,D20,D21,D29,D32,D57,D67,D92,D99,D124,D146,D147,D148,D153,D154,D22)</f>
        <v>68500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3085316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1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1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1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1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1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1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1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122">
        <f>14708+40</f>
        <v>14748</v>
      </c>
      <c r="I167" s="75"/>
      <c r="J167" s="2">
        <f t="shared" si="21"/>
        <v>25748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1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1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1"/>
        <v>469</v>
      </c>
    </row>
    <row r="171" spans="1:14" ht="13.5" customHeight="1" thickBot="1" x14ac:dyDescent="0.3">
      <c r="B171" s="29" t="s">
        <v>144</v>
      </c>
      <c r="C171" s="30">
        <f t="shared" ref="C171:J171" si="22">SUM(C156:C170)</f>
        <v>0</v>
      </c>
      <c r="D171" s="30">
        <f>SUM(D156:D170)</f>
        <v>850</v>
      </c>
      <c r="E171" s="30">
        <f t="shared" ref="E171:F171" si="23">SUM(E156:E170)</f>
        <v>0</v>
      </c>
      <c r="F171" s="30">
        <f t="shared" si="23"/>
        <v>78500</v>
      </c>
      <c r="G171" s="30">
        <f>SUM(G156:G170)</f>
        <v>3719</v>
      </c>
      <c r="H171" s="30">
        <f t="shared" si="22"/>
        <v>14748</v>
      </c>
      <c r="I171" s="30">
        <f t="shared" si="22"/>
        <v>2797</v>
      </c>
      <c r="J171" s="30">
        <f t="shared" si="22"/>
        <v>100614</v>
      </c>
    </row>
    <row r="172" spans="1:14" ht="16.5" customHeight="1" thickBot="1" x14ac:dyDescent="0.3">
      <c r="B172" s="34" t="s">
        <v>145</v>
      </c>
      <c r="C172" s="35">
        <f t="shared" ref="C172:I172" si="24">C155+C171</f>
        <v>2995582</v>
      </c>
      <c r="D172" s="35">
        <f>D155+D171</f>
        <v>69350</v>
      </c>
      <c r="E172" s="35">
        <f>E155+E171</f>
        <v>2370</v>
      </c>
      <c r="F172" s="35">
        <f>F155+F171</f>
        <v>91837</v>
      </c>
      <c r="G172" s="35">
        <f t="shared" si="24"/>
        <v>9246</v>
      </c>
      <c r="H172" s="35">
        <f t="shared" si="24"/>
        <v>14748</v>
      </c>
      <c r="I172" s="35">
        <f t="shared" si="24"/>
        <v>2797</v>
      </c>
      <c r="J172" s="35">
        <f>J155+J171</f>
        <v>3185930</v>
      </c>
      <c r="N172" s="55"/>
    </row>
    <row r="173" spans="1:14" ht="187.5" customHeight="1" x14ac:dyDescent="0.25">
      <c r="A173" s="81"/>
      <c r="B173" s="140" t="s">
        <v>218</v>
      </c>
      <c r="C173" s="140"/>
      <c r="D173" s="140"/>
      <c r="E173" s="140"/>
      <c r="F173" s="140"/>
      <c r="G173" s="140"/>
      <c r="H173" s="140"/>
      <c r="I173" s="140"/>
      <c r="J173" s="140"/>
    </row>
    <row r="174" spans="1:14" ht="15" customHeight="1" x14ac:dyDescent="0.25">
      <c r="D174" s="141" t="s">
        <v>174</v>
      </c>
      <c r="E174" s="141"/>
      <c r="F174" s="141"/>
      <c r="G174" s="141"/>
      <c r="H174" s="141"/>
      <c r="I174" s="141"/>
      <c r="J174" s="141"/>
    </row>
    <row r="175" spans="1:14" ht="1.5" hidden="1" customHeight="1" x14ac:dyDescent="0.25">
      <c r="D175" s="141" t="s">
        <v>175</v>
      </c>
      <c r="E175" s="141"/>
      <c r="F175" s="141"/>
      <c r="G175" s="141"/>
      <c r="H175" s="141"/>
      <c r="I175" s="141"/>
      <c r="J175" s="141"/>
    </row>
    <row r="176" spans="1:14" hidden="1" x14ac:dyDescent="0.25">
      <c r="C176" s="55"/>
      <c r="D176" s="141"/>
      <c r="E176" s="141"/>
      <c r="F176" s="141"/>
      <c r="G176" s="141"/>
      <c r="H176" s="141"/>
      <c r="I176" s="141"/>
      <c r="J176" s="141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Predlog FP 2023. A</vt:lpstr>
      <vt:lpstr>Predlog FP 2023. S</vt:lpstr>
      <vt:lpstr>Prva izmena FP 2023. A</vt:lpstr>
      <vt:lpstr>Prva izmena FP 2023. S</vt:lpstr>
      <vt:lpstr>Druga izmena FP 2023. A</vt:lpstr>
      <vt:lpstr>Druga izmena FP 2023. S</vt:lpstr>
      <vt:lpstr>Treća izmena FP 2023. A</vt:lpstr>
      <vt:lpstr>Treća izmena FP 2023. S</vt:lpstr>
      <vt:lpstr>Četvrta izmena FP 2023. A</vt:lpstr>
      <vt:lpstr>Četvrta izmena FP 2023. S</vt:lpstr>
      <vt:lpstr>Peta izmena FP 2023. A</vt:lpstr>
      <vt:lpstr>Peta izmena FP 2023. S</vt:lpstr>
      <vt:lpstr>Šesta izmena FP 2023. A</vt:lpstr>
      <vt:lpstr>Šesta izmena FP 2023. S</vt:lpstr>
      <vt:lpstr>Sedma izmena FP 2023. A</vt:lpstr>
      <vt:lpstr>Sedma izmena FP 2023. S</vt:lpstr>
      <vt:lpstr>Osma izmena FP 2023. A</vt:lpstr>
      <vt:lpstr>Osma izmena FP 2023. S</vt:lpstr>
      <vt:lpstr>Deveta izmena FP 2023. A</vt:lpstr>
      <vt:lpstr>Deveta izmena FP 2023. S</vt:lpstr>
      <vt:lpstr>Deseta izmena FP 2023. A</vt:lpstr>
      <vt:lpstr>Deseta izmena FP 2023. S</vt:lpstr>
      <vt:lpstr>Jedanseta izmena FP 2023. A</vt:lpstr>
      <vt:lpstr>Jedanaesta izmena FP 2023.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2023-12-14T10:55:37Z</cp:lastPrinted>
  <dcterms:created xsi:type="dcterms:W3CDTF">2018-12-31T10:52:34Z</dcterms:created>
  <dcterms:modified xsi:type="dcterms:W3CDTF">2024-02-02T08:42:40Z</dcterms:modified>
</cp:coreProperties>
</file>